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 entries" sheetId="1" state="visible" r:id="rId3"/>
    <sheet name="Ranked" sheetId="2" state="visible" r:id="rId4"/>
    <sheet name="Notes" sheetId="3" state="visible" r:id="rId5"/>
  </sheets>
  <definedNames>
    <definedName function="false" hidden="true" localSheetId="0" name="_xlnm._FilterDatabase" vbProcedure="false">'All entries'!$A$15:$M$100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<sst xmlns="http://schemas.openxmlformats.org/spreadsheetml/2006/main" count="384" uniqueCount="256">
  <si>
    <t xml:space="preserve">Controls: change a yellow anchor value to rescale its whole category. Everything else updates.</t>
  </si>
  <si>
    <t xml:space="preserve">Category</t>
  </si>
  <si>
    <t xml:space="preserve">Category multiplier</t>
  </si>
  <si>
    <t xml:space="preserve">Political</t>
  </si>
  <si>
    <t xml:space="preserve">Alignment</t>
  </si>
  <si>
    <t xml:space="preserve">Community</t>
  </si>
  <si>
    <t xml:space="preserve">Social shift</t>
  </si>
  <si>
    <t xml:space="preserve">Generic: PERCYs</t>
  </si>
  <si>
    <t xml:space="preserve">Generic: $1B to grantmaker</t>
  </si>
  <si>
    <t xml:space="preserve">Generic: researcher-year</t>
  </si>
  <si>
    <t xml:space="preserve">Generic: policy-year</t>
  </si>
  <si>
    <t xml:space="preserve">Generic: lab point</t>
  </si>
  <si>
    <t xml:space="preserve">Entry</t>
  </si>
  <si>
    <t xml:space="preserve">Who / status</t>
  </si>
  <si>
    <t xml:space="preserve">When</t>
  </si>
  <si>
    <t xml:space="preserve">Value</t>
  </si>
  <si>
    <t xml:space="preserve">Adjusted value</t>
  </si>
  <si>
    <t xml:space="preserve">Sort key</t>
  </si>
  <si>
    <r>
      <rPr>
        <sz val="11"/>
        <rFont val="Arial"/>
        <family val="0"/>
        <charset val="1"/>
      </rPr>
      <t xml:space="preserve">Plan A-style US–China pause treaty (verified halt on new frontier training, declared compute, mutually assured compute destruction) [</t>
    </r>
    <r>
      <rPr>
        <b val="true"/>
        <sz val="11"/>
        <rFont val="Arial"/>
        <family val="0"/>
        <charset val="1"/>
      </rPr>
      <t xml:space="preserve">ANCHOR</t>
    </r>
    <r>
      <rPr>
        <sz val="11"/>
        <rFont val="Arial"/>
        <family val="0"/>
        <charset val="1"/>
      </rPr>
      <t xml:space="preserve">]</t>
    </r>
  </si>
  <si>
    <t xml:space="preserve">Proposed</t>
  </si>
  <si>
    <t xml:space="preserve">AI Futures Project 'AI 2040: Plan A'</t>
  </si>
  <si>
    <t xml:space="preserve">US–China verification regime without a pause (declared compute, inspections, inference-only checks)</t>
  </si>
  <si>
    <t xml:space="preserve">Not on any official agenda</t>
  </si>
  <si>
    <t xml:space="preserve">US federal licensing / pre-deployment approval for frontier models</t>
  </si>
  <si>
    <t xml:space="preserve">No bill with momentum</t>
  </si>
  <si>
    <t xml:space="preserve">Federal standby authority to pause frontier training, plus compute tracking to make it enforceable</t>
  </si>
  <si>
    <t xml:space="preserve">Not introduced</t>
  </si>
  <si>
    <t xml:space="preserve">International compute registry with hardware-enabled mechanisms on frontier chips</t>
  </si>
  <si>
    <t xml:space="preserve">Research stage</t>
  </si>
  <si>
    <t xml:space="preserve">Federal frontier transparency law (public model specs, safety cases, capability disclosure, incident reporting)</t>
  </si>
  <si>
    <t xml:space="preserve">Preemption drafts would instead weaken state versions</t>
  </si>
  <si>
    <t xml:space="preserve">Standing US–China government channel on frontier AI risk</t>
  </si>
  <si>
    <t xml:space="preserve">Only one-off statements so far</t>
  </si>
  <si>
    <t xml:space="preserve">Mandatory government pre-deployment testing of frontier models (CAISI)</t>
  </si>
  <si>
    <t xml:space="preserve">Testing is voluntary today</t>
  </si>
  <si>
    <t xml:space="preserve">Government alignment/control research program over $1B/year</t>
  </si>
  <si>
    <t xml:space="preserve">Not funded at this scale</t>
  </si>
  <si>
    <t xml:space="preserve">Legal requirements against AI-enabled power grabs (public model specs, no secret loyalties, limits on government use)</t>
  </si>
  <si>
    <t xml:space="preserve">Restore presumption-of-denial export controls on frontier AI chips to China</t>
  </si>
  <si>
    <t xml:space="preserve">Reversed</t>
  </si>
  <si>
    <t xml:space="preserve">BIS moved H200-class chips to case-by-case review, effective Jan 2026</t>
  </si>
  <si>
    <t xml:space="preserve">Mandatory high security (SL4+) for frontier model weights</t>
  </si>
  <si>
    <t xml:space="preserve">Voluntary lab frameworks only</t>
  </si>
  <si>
    <t xml:space="preserve">Federal AI whistleblower protection law</t>
  </si>
  <si>
    <t xml:space="preserve">In progress</t>
  </si>
  <si>
    <t xml:space="preserve">Introduced 2025 as far as I know; status not verified this session</t>
  </si>
  <si>
    <t xml:space="preserve">Chip Security Act (location verification on exported AI chips)</t>
  </si>
  <si>
    <t xml:space="preserve">Passed House Foreign Affairs Committee 42–0, March 2026; no floor vote yet</t>
  </si>
  <si>
    <t xml:space="preserve">Senate strips 10-year moratorium on state AI laws from the reconciliation bill</t>
  </si>
  <si>
    <t xml:space="preserve">Happened</t>
  </si>
  <si>
    <t xml:space="preserve">July 2025, 99–1 vote</t>
  </si>
  <si>
    <t xml:space="preserve">EU AI Act obligations for general-purpose models plus the Code of Practice safety chapter</t>
  </si>
  <si>
    <t xml:space="preserve">In force from Aug 2, 2025; unchanged by the 2026 omnibus</t>
  </si>
  <si>
    <t xml:space="preserve">California SB 53 (Transparency in Frontier AI Act)</t>
  </si>
  <si>
    <t xml:space="preserve">Signed Sept 2025; in force</t>
  </si>
  <si>
    <t xml:space="preserve">Defeat federal preemption of state AI laws in 2026 (Great American AI Act draft, EO 14365 litigation)</t>
  </si>
  <si>
    <t xml:space="preserve">Discussion draft stalled since June 2026; DOJ task force active</t>
  </si>
  <si>
    <t xml:space="preserve">New York RAISE Act</t>
  </si>
  <si>
    <t xml:space="preserve">Signed Dec 2025; amended March 2026 to track SB 53; effective Jan 1, 2027</t>
  </si>
  <si>
    <t xml:space="preserve">UN Independent International Scientific Panel on AI and Global Dialogue</t>
  </si>
  <si>
    <t xml:space="preserve">Established by UN General Assembly, Aug 2025 (as far as I know)</t>
  </si>
  <si>
    <t xml:space="preserve">Problem framing: orthogonality, instrumental convergence, corrigibility, the sharp left turn</t>
  </si>
  <si>
    <t xml:space="preserve">Eliezer Yudkowsky and MIRI</t>
  </si>
  <si>
    <t xml:space="preserve">2001–2023</t>
  </si>
  <si>
    <t xml:space="preserve">ELK, iterated amplification and related conceptual agendas</t>
  </si>
  <si>
    <t xml:space="preserve">Paul Christiano (ARC)</t>
  </si>
  <si>
    <t xml:space="preserve">2016–2024</t>
  </si>
  <si>
    <t xml:space="preserve">RLHF: deep reinforcement learning from human preferences, scaled up in InstructGPT</t>
  </si>
  <si>
    <t xml:space="preserve">Christiano, Leike et al.; OpenAI</t>
  </si>
  <si>
    <t xml:space="preserve">2017–2022</t>
  </si>
  <si>
    <t xml:space="preserve">Circuits program: reverse-engineering networks, induction heads</t>
  </si>
  <si>
    <t xml:space="preserve">Chris Olah and collaborators (Distill, Anthropic)</t>
  </si>
  <si>
    <t xml:space="preserve">2020–2022</t>
  </si>
  <si>
    <t xml:space="preserve">Superposition and sparse autoencoders (dictionary learning)</t>
  </si>
  <si>
    <t xml:space="preserve">Anthropic interpretability team</t>
  </si>
  <si>
    <t xml:space="preserve">2022–2024</t>
  </si>
  <si>
    <t xml:space="preserve">Constitutional AI, model specs and character training</t>
  </si>
  <si>
    <t xml:space="preserve">Anthropic (Bai et al.); OpenAI model spec</t>
  </si>
  <si>
    <t xml:space="preserve">2022–2025</t>
  </si>
  <si>
    <t xml:space="preserve">AI control: safety even if the model is scheming</t>
  </si>
  <si>
    <t xml:space="preserve">Redwood Research (Greenblatt, Shlegeris et al.)</t>
  </si>
  <si>
    <t xml:space="preserve">2023–present</t>
  </si>
  <si>
    <t xml:space="preserve">Model organisms of misalignment: sleeper agents and alignment faking</t>
  </si>
  <si>
    <t xml:space="preserve">Anthropic and Redwood (Hubinger, Greenblatt et al.)</t>
  </si>
  <si>
    <t xml:space="preserve">2024</t>
  </si>
  <si>
    <t xml:space="preserve">Risks from Learned Optimization (mesa-optimization, deceptive alignment)</t>
  </si>
  <si>
    <t xml:space="preserve">Hubinger et al.</t>
  </si>
  <si>
    <t xml:space="preserve">2019</t>
  </si>
  <si>
    <t xml:space="preserve">Chain-of-thought monitorability</t>
  </si>
  <si>
    <t xml:space="preserve">OpenAI (Baker et al.) and a multi-lab position paper</t>
  </si>
  <si>
    <t xml:space="preserve">2025</t>
  </si>
  <si>
    <t xml:space="preserve">Attribution graphs / circuit tracing ('Biology of a Large Language Model')</t>
  </si>
  <si>
    <t xml:space="preserve">Emergent misalignment</t>
  </si>
  <si>
    <t xml:space="preserve">Betley, Evans et al.; OpenAI follow-ups</t>
  </si>
  <si>
    <t xml:space="preserve">Representation engineering, steering vectors and persona vectors</t>
  </si>
  <si>
    <t xml:space="preserve">Zou et al.; Turner et al.; Chen et al.</t>
  </si>
  <si>
    <t xml:space="preserve">2023–2025</t>
  </si>
  <si>
    <t xml:space="preserve">J-Lens / global workspace paper</t>
  </si>
  <si>
    <t xml:space="preserve">Anthropic</t>
  </si>
  <si>
    <t xml:space="preserve">July 2026</t>
  </si>
  <si>
    <t xml:space="preserve">Persona selection model and inoculation prompting</t>
  </si>
  <si>
    <t xml:space="preserve">Anthropic (Marks, Lindsey, Olah) and others</t>
  </si>
  <si>
    <t xml:space="preserve">2025–2026</t>
  </si>
  <si>
    <t xml:space="preserve">Debate and scalable oversight</t>
  </si>
  <si>
    <t xml:space="preserve">Irving, Christiano, Amodei; later empirical work</t>
  </si>
  <si>
    <t xml:space="preserve">2018–2025</t>
  </si>
  <si>
    <t xml:space="preserve">Alignment auditing: hidden-objective games and auditing agents</t>
  </si>
  <si>
    <t xml:space="preserve">Anthropic (Marks et al.)</t>
  </si>
  <si>
    <t xml:space="preserve">Natural abstractions and selection theorems</t>
  </si>
  <si>
    <t xml:space="preserve">John Wentworth</t>
  </si>
  <si>
    <t xml:space="preserve">2019–present</t>
  </si>
  <si>
    <t xml:space="preserve">Weak-to-strong generalization</t>
  </si>
  <si>
    <t xml:space="preserve">OpenAI Superalignment (Burns et al.)</t>
  </si>
  <si>
    <t xml:space="preserve">2023</t>
  </si>
  <si>
    <t xml:space="preserve">Learning-theoretic agenda / infra-Bayesianism</t>
  </si>
  <si>
    <t xml:space="preserve">Vanessa Kosoy</t>
  </si>
  <si>
    <t xml:space="preserve">LessWrong and the Sequences (with Overcoming Bias)</t>
  </si>
  <si>
    <t xml:space="preserve">Eliezer Yudkowsky, Robin Hanson</t>
  </si>
  <si>
    <t xml:space="preserve">2006–2009</t>
  </si>
  <si>
    <t xml:space="preserve">Founding of effective altruism (Giving What We Can, CEA, the EA framework)</t>
  </si>
  <si>
    <t xml:space="preserve">Toby Ord, Will MacAskill and others</t>
  </si>
  <si>
    <t xml:space="preserve">2009–2012</t>
  </si>
  <si>
    <t xml:space="preserve">80,000 Hours career advice, AI-focused since about 2017</t>
  </si>
  <si>
    <t xml:space="preserve">80,000 Hours</t>
  </si>
  <si>
    <t xml:space="preserve">2011–present</t>
  </si>
  <si>
    <t xml:space="preserve">Harry Potter and the Methods of Rationality</t>
  </si>
  <si>
    <t xml:space="preserve">Eliezer Yudkowsky</t>
  </si>
  <si>
    <t xml:space="preserve">2010–2015</t>
  </si>
  <si>
    <t xml:space="preserve">Slate Star Codex / Astral Codex Ten as a community hub</t>
  </si>
  <si>
    <t xml:space="preserve">Scott Alexander</t>
  </si>
  <si>
    <t xml:space="preserve">2013–present</t>
  </si>
  <si>
    <t xml:space="preserve">MATS (ML Alignment &amp; Theory Scholars)</t>
  </si>
  <si>
    <t xml:space="preserve">MATS team</t>
  </si>
  <si>
    <t xml:space="preserve">2021–present</t>
  </si>
  <si>
    <t xml:space="preserve">LessWrong 2.0 revival and the Alignment Forum</t>
  </si>
  <si>
    <t xml:space="preserve">Lightcone Infrastructure (Habryka et al.)</t>
  </si>
  <si>
    <t xml:space="preserve">2017–present</t>
  </si>
  <si>
    <t xml:space="preserve">CFAR workshops and alumni network</t>
  </si>
  <si>
    <t xml:space="preserve">Center for Applied Rationality</t>
  </si>
  <si>
    <t xml:space="preserve">2012–2020</t>
  </si>
  <si>
    <t xml:space="preserve">EA Global and EAGx conferences</t>
  </si>
  <si>
    <t xml:space="preserve">CEA</t>
  </si>
  <si>
    <t xml:space="preserve">BlueDot Impact courses (AI Safety Fundamentals)</t>
  </si>
  <si>
    <t xml:space="preserve">BlueDot Impact</t>
  </si>
  <si>
    <t xml:space="preserve">Small-grant ecosystem (Long-Term Future Fund, SFF and similar)</t>
  </si>
  <si>
    <t xml:space="preserve">EA Funds, Survival and Flourishing Fund and others</t>
  </si>
  <si>
    <t xml:space="preserve">Lighthaven</t>
  </si>
  <si>
    <t xml:space="preserve">Lightcone Infrastructure</t>
  </si>
  <si>
    <t xml:space="preserve">University AI safety student groups</t>
  </si>
  <si>
    <t xml:space="preserve">Harvard AISST, MIT AI Alignment and many others</t>
  </si>
  <si>
    <t xml:space="preserve">2022–present</t>
  </si>
  <si>
    <t xml:space="preserve">Constellation (Berkeley research center)</t>
  </si>
  <si>
    <t xml:space="preserve">Constellation</t>
  </si>
  <si>
    <t xml:space="preserve">Berkeley rationalist hub and group houses</t>
  </si>
  <si>
    <t xml:space="preserve">Community-organized</t>
  </si>
  <si>
    <t xml:space="preserve">2012–present</t>
  </si>
  <si>
    <t xml:space="preserve">Summer research fellowships (SERI, ERA, CHERI, PIBBSS and similar)</t>
  </si>
  <si>
    <t xml:space="preserve">Various</t>
  </si>
  <si>
    <t xml:space="preserve">LISA (London Initiative for Safe AI)</t>
  </si>
  <si>
    <t xml:space="preserve">LISA</t>
  </si>
  <si>
    <t xml:space="preserve">AI Safety Camp</t>
  </si>
  <si>
    <t xml:space="preserve">2018–present</t>
  </si>
  <si>
    <t xml:space="preserve">SSC/ACX meetups worldwide</t>
  </si>
  <si>
    <t xml:space="preserve">Local organizers</t>
  </si>
  <si>
    <t xml:space="preserve">2016–present</t>
  </si>
  <si>
    <t xml:space="preserve">Manifest and the Manifold community</t>
  </si>
  <si>
    <t xml:space="preserve">Manifold</t>
  </si>
  <si>
    <t xml:space="preserve">Geoffrey Hinton leaves Google and warns publicly about extinction risk</t>
  </si>
  <si>
    <t xml:space="preserve">Geoffrey Hinton</t>
  </si>
  <si>
    <t xml:space="preserve">May 2023</t>
  </si>
  <si>
    <t xml:space="preserve">Yoshua Bengio speaks out and reorients his work toward safety</t>
  </si>
  <si>
    <t xml:space="preserve">Yoshua Bengio</t>
  </si>
  <si>
    <t xml:space="preserve">Frontier safety frameworks adopted across labs (RSPs, Preparedness, Frontier Safety Framework, Seoul commitments)</t>
  </si>
  <si>
    <t xml:space="preserve">Anthropic, OpenAI, Google DeepMind, then about 16 companies at Seoul</t>
  </si>
  <si>
    <t xml:space="preserve">2023–2024</t>
  </si>
  <si>
    <t xml:space="preserve">Governments found AI Safety Institutes</t>
  </si>
  <si>
    <t xml:space="preserve">UK, US, then a dozen more</t>
  </si>
  <si>
    <t xml:space="preserve">Nov 2023 onward</t>
  </si>
  <si>
    <t xml:space="preserve">AI 2027 scenario goes mainstream</t>
  </si>
  <si>
    <t xml:space="preserve">AI Futures Project</t>
  </si>
  <si>
    <t xml:space="preserve">Apr 2025</t>
  </si>
  <si>
    <t xml:space="preserve">Bletchley Declaration</t>
  </si>
  <si>
    <t xml:space="preserve">28 countries including the US and China</t>
  </si>
  <si>
    <t xml:space="preserve">Nov 2023</t>
  </si>
  <si>
    <t xml:space="preserve">If Anyone Builds It, Everyone Dies becomes a bestseller</t>
  </si>
  <si>
    <t xml:space="preserve">Yudkowsky and Soares</t>
  </si>
  <si>
    <t xml:space="preserve">Sept 2025</t>
  </si>
  <si>
    <t xml:space="preserve">AI risk concern becomes bipartisan, including on the populist right</t>
  </si>
  <si>
    <t xml:space="preserve">Hawley, Bannon and others</t>
  </si>
  <si>
    <t xml:space="preserve">2024–2026</t>
  </si>
  <si>
    <t xml:space="preserve">CAIS Statement on AI Risk</t>
  </si>
  <si>
    <t xml:space="preserve">Center for AI Safety; lab CEOs and hundreds of researchers</t>
  </si>
  <si>
    <t xml:space="preserve">Chinese and Western scientists agree on red lines (IDAIS dialogues)</t>
  </si>
  <si>
    <t xml:space="preserve">Andrew Yao, Bengio, Hinton, Zhang Ya-Qin and others</t>
  </si>
  <si>
    <t xml:space="preserve">International AI Safety Report</t>
  </si>
  <si>
    <t xml:space="preserve">Chaired by Yoshua Bengio, 30+ countries</t>
  </si>
  <si>
    <t xml:space="preserve">Jan 2025</t>
  </si>
  <si>
    <t xml:space="preserve">Statement on Superintelligence (call to prohibit development until there is scientific consensus and public buy-in)</t>
  </si>
  <si>
    <t xml:space="preserve">Future of Life Institute; very broad signatories</t>
  </si>
  <si>
    <t xml:space="preserve">Oct 2025</t>
  </si>
  <si>
    <t xml:space="preserve">FLI 'pause giant AI experiments' letter</t>
  </si>
  <si>
    <t xml:space="preserve">Future of Life Institute; Musk, Wozniak, many researchers</t>
  </si>
  <si>
    <t xml:space="preserve">Mar 2023</t>
  </si>
  <si>
    <t xml:space="preserve">OpenAI safety departures and the 'right to warn' letter</t>
  </si>
  <si>
    <t xml:space="preserve">Jan Leike, Ilya Sutskever, current and former employees</t>
  </si>
  <si>
    <t xml:space="preserve">May–June 2024</t>
  </si>
  <si>
    <t xml:space="preserve">Lab CEOs acknowledge extinction risk in Senate testimony</t>
  </si>
  <si>
    <t xml:space="preserve">Sam Altman and others</t>
  </si>
  <si>
    <t xml:space="preserve">Hinton's Nobel Prize amplifies his warnings</t>
  </si>
  <si>
    <t xml:space="preserve">Nobel Committee / Geoffrey Hinton</t>
  </si>
  <si>
    <t xml:space="preserve">Oct 2024</t>
  </si>
  <si>
    <t xml:space="preserve">Expert surveys show substantial extinction estimates (AI Impacts)</t>
  </si>
  <si>
    <t xml:space="preserve">AI Impacts</t>
  </si>
  <si>
    <t xml:space="preserve">2022–2023</t>
  </si>
  <si>
    <t xml:space="preserve">White House voluntary commitments</t>
  </si>
  <si>
    <t xml:space="preserve">Seven, then fifteen companies</t>
  </si>
  <si>
    <t xml:space="preserve">July 2023</t>
  </si>
  <si>
    <t xml:space="preserve">Pope Leo XIV makes AI a signature issue</t>
  </si>
  <si>
    <t xml:space="preserve">Pope Leo XIV</t>
  </si>
  <si>
    <t xml:space="preserve">OpenAI board crisis</t>
  </si>
  <si>
    <t xml:space="preserve">OpenAI board</t>
  </si>
  <si>
    <t xml:space="preserve">One million PERCYs</t>
  </si>
  <si>
    <t xml:space="preserve">Any persuasion grant</t>
  </si>
  <si>
    <t xml:space="preserve">Per million</t>
  </si>
  <si>
    <t xml:space="preserve">$1B given to a grantmaker like CG or SFF, spent in their usual way</t>
  </si>
  <si>
    <t xml:space="preserve">Any large donation</t>
  </si>
  <si>
    <t xml:space="preserve">One-time</t>
  </si>
  <si>
    <t xml:space="preserve">One extra alignment-researcher-year (marginal MATS graduate)</t>
  </si>
  <si>
    <t xml:space="preserve">Research and training grants</t>
  </si>
  <si>
    <t xml:space="preserve">Per year</t>
  </si>
  <si>
    <t xml:space="preserve">One person-year of a skilled, safety-minded professional in a government AI role</t>
  </si>
  <si>
    <t xml:space="preserve">Policy pipeline grants</t>
  </si>
  <si>
    <t xml:space="preserve">OpenAI or Anthropic becomes 1 point more alignment-pilled (0 = NVIDIA, 100 = Anthropic)</t>
  </si>
  <si>
    <t xml:space="preserve">Lab-facing grants</t>
  </si>
  <si>
    <t xml:space="preserve">Per point</t>
  </si>
  <si>
    <t xml:space="preserve">Live ranking of all 85 entries by adjusted value. Re-sorts automatically when you change the controls.</t>
  </si>
  <si>
    <t xml:space="preserve">Rank</t>
  </si>
  <si>
    <t xml:space="preserve">% of Plan A</t>
  </si>
  <si>
    <t xml:space="preserve">What this is</t>
  </si>
  <si>
    <t xml:space="preserve">All 85 entries on one scale: the four original sheets (political outcomes, alignment discoveries, community building, social shifts) plus five generic inputs. Base values are my estimates under an AI Futures Project-style worldview.</t>
  </si>
  <si>
    <t xml:space="preserve">How the scaling works</t>
  </si>
  <si>
    <t xml:space="preserve">Each category has an anchor (Plan A = 1,000,000; J-Lens = 4,000; Lighthaven = 10,000; CAIS letter = 5,000; and each of the five generic inputs is its own category, anchored on itself). Changing a category's anchor in the yellow control cells multiplies every entry in that category by the same factor. This changes how categories compare to each other without changing the order inside a category.</t>
  </si>
  <si>
    <t xml:space="preserve">Per-entry overrides</t>
  </si>
  <si>
    <t xml:space="preserve">Type a number in 'Your base value' to replace my estimate for that entry. It is still multiplied by the category multiplier.</t>
  </si>
  <si>
    <t xml:space="preserve">Ranked sheet</t>
  </si>
  <si>
    <t xml:space="preserve">Re-sorts automatically. Colors match the categories. Ties keep the order of the main sheet.</t>
  </si>
  <si>
    <t xml:space="preserve">Colors</t>
  </si>
  <si>
    <t xml:space="preserve">Blue = political, green = alignment, orange = community building, purple = social shifts, teal = generic inputs (each its own category). Yellow cells are for your input; blue numbers are my estimates.</t>
  </si>
  <si>
    <t xml:space="preserve">Overlap</t>
  </si>
  <si>
    <t xml:space="preserve">Entries overlap within and across categories (e.g. AI 2027 appears as a social shift and drives political outcomes). Don't add them up for totals.</t>
  </si>
  <si>
    <t xml:space="preserve">Generic inputs are marginal prices</t>
  </si>
  <si>
    <t xml:space="preserve">Each value is for one more unit at today's margin. Don't multiply them up linearly: 5,000 extra researcher-years or $10B extra would each be worth far less than 5,000× or 10× the listed value, because of diminishing returns and limits on how much the field can absorb.</t>
  </si>
  <si>
    <t xml:space="preserve">Generic inputs</t>
  </si>
  <si>
    <t xml:space="preserve">Provisional guesses, meant as unit prices for grant scoring: a grant's value = how many units it produces × the unit's value here. Values for researcher-year and policy-year are per single year, so they look tiny next to whole programs; that is expected.</t>
  </si>
  <si>
    <t xml:space="preserve">Sources</t>
  </si>
  <si>
    <t xml:space="preserve">See the four original sheets. Political and alignment statuses were partly checked against sources; community and social-shift facts are from memory.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</si>
</sst>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\×"/>
    <numFmt numFmtId="166" formatCode="#,##0"/>
    <numFmt numFmtId="167" formatCode="#,##0;\(#,##0\);0"/>
    <numFmt numFmtId="168" formatCode="0.000000"/>
    <numFmt numFmtId="169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b val="true"/>
      <sz val="11"/>
      <color rgb="FF843C0C"/>
      <name val="Arial"/>
      <family val="0"/>
      <charset val="1"/>
    </font>
    <font>
      <b val="true"/>
      <sz val="11"/>
      <color rgb="FF5B3A7E"/>
      <name val="Arial"/>
      <family val="0"/>
      <charset val="1"/>
    </font>
    <font>
      <b val="true"/>
      <sz val="11"/>
      <color rgb="FF1D6B63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999999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F3E4E"/>
        <bgColor rgb="FF1F4E79"/>
      </patternFill>
    </fill>
    <fill>
      <patternFill patternType="solid">
        <fgColor rgb="FFDCE6F2"/>
        <bgColor rgb="FFE4DFEC"/>
      </patternFill>
    </fill>
    <fill>
      <patternFill patternType="solid">
        <fgColor rgb="FFE2EFDA"/>
        <bgColor rgb="FFD9F0EE"/>
      </patternFill>
    </fill>
    <fill>
      <patternFill patternType="solid">
        <fgColor rgb="FFFCE4D6"/>
        <bgColor rgb="FFE4DFEC"/>
      </patternFill>
    </fill>
    <fill>
      <patternFill patternType="solid">
        <fgColor rgb="FFE4DFEC"/>
        <bgColor rgb="FFDCE6F2"/>
      </patternFill>
    </fill>
    <fill>
      <patternFill patternType="solid">
        <fgColor rgb="FFD9F0EE"/>
        <bgColor rgb="FFDCE6F2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8CDD3"/>
      </left>
      <right style="thin">
        <color rgb="FFC8CDD3"/>
      </right>
      <top style="thin">
        <color rgb="FFC8CDD3"/>
      </top>
      <bottom style="thin">
        <color rgb="FFC8CDD3"/>
      </bottom>
      <diagonal/>
    </border>
    <border diagonalUp="false" diagonalDown="false">
      <left/>
      <right/>
      <top/>
      <bottom style="thin">
        <color rgb="FFC8CD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8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3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6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7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7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9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2F3E4E"/>
          <bgColor rgb="FF000000"/>
        </patternFill>
      </fill>
    </dxf>
    <dxf>
      <fill>
        <patternFill patternType="solid">
          <fgColor rgb="FFD9F0EE"/>
          <bgColor rgb="FF000000"/>
        </patternFill>
      </fill>
    </dxf>
    <dxf>
      <fill>
        <patternFill patternType="solid">
          <fgColor rgb="FFDCE6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1D6B63"/>
          <bgColor rgb="FF000000"/>
        </patternFill>
      </fill>
    </dxf>
    <dxf>
      <fill>
        <patternFill patternType="solid">
          <fgColor rgb="FF1F4E79"/>
          <bgColor rgb="FF000000"/>
        </patternFill>
      </fill>
    </dxf>
    <dxf>
      <fill>
        <patternFill patternType="solid">
          <fgColor rgb="FF375623"/>
          <bgColor rgb="FF000000"/>
        </patternFill>
      </fill>
    </dxf>
    <dxf>
      <fill>
        <patternFill patternType="solid">
          <fgColor rgb="FF5B3A7E"/>
          <bgColor rgb="FF000000"/>
        </patternFill>
      </fill>
    </dxf>
    <dxf>
      <fill>
        <patternFill patternType="solid">
          <fgColor rgb="FF843C0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9999"/>
          <bgColor rgb="FF000000"/>
        </patternFill>
      </fill>
    </dxf>
    <dxf>
      <font>
        <color rgb="FF1F4E79"/>
      </font>
      <fill>
        <patternFill>
          <bgColor rgb="FFDCE6F2"/>
        </patternFill>
      </fill>
    </dxf>
    <dxf>
      <font>
        <color rgb="FF375623"/>
      </font>
      <fill>
        <patternFill>
          <bgColor rgb="FFE2EFDA"/>
        </patternFill>
      </fill>
    </dxf>
    <dxf>
      <font>
        <color rgb="FF843C0C"/>
      </font>
      <fill>
        <patternFill>
          <bgColor rgb="FFFCE4D6"/>
        </patternFill>
      </fill>
    </dxf>
    <dxf>
      <font>
        <color rgb="FF5B3A7E"/>
      </font>
      <fill>
        <patternFill>
          <bgColor rgb="FFE4DFEC"/>
        </patternFill>
      </fill>
    </dxf>
    <dxf>
      <font>
        <color rgb="FF1D6B63"/>
      </font>
      <fill>
        <patternFill>
          <bgColor rgb="FFD9F0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B63"/>
      <rgbColor rgb="FFC8CDD3"/>
      <rgbColor rgb="FF808080"/>
      <rgbColor rgb="FF9999FF"/>
      <rgbColor rgb="FF993366"/>
      <rgbColor rgb="FFFCE4D6"/>
      <rgbColor rgb="FFD9F0EE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1F4E79"/>
      <rgbColor rgb="FF339966"/>
      <rgbColor rgb="FF003300"/>
      <rgbColor rgb="FF375623"/>
      <rgbColor rgb="FF843C0C"/>
      <rgbColor rgb="FF993366"/>
      <rgbColor rgb="FF5B3A7E"/>
      <rgbColor rgb="FF2F3E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5" topLeftCell="C22" activePane="bottomRight" state="frozen"/>
      <selection pane="topLeft" activeCell="A1" activeCellId="0" sqref="A1"/>
      <selection pane="topRight" activeCell="C1" activeCellId="0" sqref="C1"/>
      <selection pane="bottomLeft" activeCell="A22" activeCellId="0" sqref="A22"/>
      <selection pane="bottomRight" activeCell="B26" activeCellId="0" sqref="B2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4.05"/>
    <col collapsed="false" customWidth="true" hidden="false" outlineLevel="0" max="2" min="2" style="1" width="58"/>
    <col collapsed="false" customWidth="true" hidden="false" outlineLevel="0" max="3" min="3" style="1" width="4.73"/>
    <col collapsed="false" customWidth="true" hidden="false" outlineLevel="0" max="4" min="4" style="1" width="22"/>
    <col collapsed="false" customWidth="true" hidden="false" outlineLevel="0" max="8" min="5" style="1" width="15"/>
    <col collapsed="false" customWidth="true" hidden="false" outlineLevel="0" max="11" min="9" style="1" width="12"/>
    <col collapsed="false" customWidth="true" hidden="false" outlineLevel="0" max="12" min="12" style="1" width="15"/>
    <col collapsed="false" customWidth="true" hidden="true" outlineLevel="0" max="13" min="13" style="1" width="10"/>
  </cols>
  <sheetData>
    <row r="1" customFormat="false" ht="15" hidden="false" customHeight="false" outlineLevel="0" collapsed="false">
      <c r="A1" s="2" t="s">
        <v>0</v>
      </c>
    </row>
    <row r="2" customFormat="false" ht="26.85" hidden="false" customHeight="false" outlineLevel="0" collapsed="false">
      <c r="A2" s="3" t="s">
        <v>1</v>
      </c>
      <c r="B2" s="3"/>
      <c r="C2" s="3"/>
      <c r="D2" s="3"/>
      <c r="E2" s="3" t="s">
        <v>2</v>
      </c>
      <c r="F2" s="3"/>
      <c r="G2" s="3"/>
    </row>
    <row r="3" customFormat="false" ht="15" hidden="false" customHeight="false" outlineLevel="0" collapsed="false">
      <c r="A3" s="4" t="s">
        <v>3</v>
      </c>
      <c r="E3" s="5" t="n">
        <v>1</v>
      </c>
      <c r="F3" s="5"/>
      <c r="G3" s="5"/>
    </row>
    <row r="4" customFormat="false" ht="15" hidden="false" customHeight="false" outlineLevel="0" collapsed="false">
      <c r="A4" s="6" t="s">
        <v>4</v>
      </c>
      <c r="E4" s="5" t="n">
        <v>1</v>
      </c>
      <c r="F4" s="5"/>
      <c r="G4" s="5"/>
    </row>
    <row r="5" customFormat="false" ht="15" hidden="false" customHeight="false" outlineLevel="0" collapsed="false">
      <c r="A5" s="7" t="s">
        <v>5</v>
      </c>
      <c r="E5" s="5" t="n">
        <v>1</v>
      </c>
      <c r="F5" s="5"/>
      <c r="G5" s="5"/>
    </row>
    <row r="6" customFormat="false" ht="15" hidden="false" customHeight="false" outlineLevel="0" collapsed="false">
      <c r="A6" s="8" t="s">
        <v>6</v>
      </c>
      <c r="E6" s="5" t="n">
        <v>1</v>
      </c>
      <c r="F6" s="5"/>
      <c r="G6" s="5"/>
    </row>
    <row r="7" customFormat="false" ht="15" hidden="false" customHeight="false" outlineLevel="0" collapsed="false">
      <c r="A7" s="9" t="s">
        <v>7</v>
      </c>
      <c r="E7" s="5" t="n">
        <v>1</v>
      </c>
      <c r="F7" s="5"/>
      <c r="G7" s="5"/>
    </row>
    <row r="8" customFormat="false" ht="15" hidden="false" customHeight="false" outlineLevel="0" collapsed="false">
      <c r="A8" s="9" t="s">
        <v>8</v>
      </c>
      <c r="E8" s="5" t="n">
        <v>1</v>
      </c>
      <c r="F8" s="5"/>
      <c r="G8" s="5"/>
    </row>
    <row r="9" customFormat="false" ht="15" hidden="false" customHeight="false" outlineLevel="0" collapsed="false">
      <c r="A9" s="9" t="s">
        <v>9</v>
      </c>
      <c r="E9" s="5" t="n">
        <v>1</v>
      </c>
      <c r="F9" s="5"/>
      <c r="G9" s="5"/>
    </row>
    <row r="10" customFormat="false" ht="15" hidden="false" customHeight="false" outlineLevel="0" collapsed="false">
      <c r="A10" s="9" t="s">
        <v>10</v>
      </c>
      <c r="E10" s="5" t="n">
        <v>1</v>
      </c>
      <c r="F10" s="5"/>
      <c r="G10" s="5"/>
    </row>
    <row r="11" customFormat="false" ht="15" hidden="false" customHeight="false" outlineLevel="0" collapsed="false">
      <c r="A11" s="9" t="s">
        <v>11</v>
      </c>
      <c r="E11" s="5" t="n">
        <v>1</v>
      </c>
      <c r="F11" s="5"/>
      <c r="G11" s="5"/>
    </row>
    <row r="13" customFormat="false" ht="15" hidden="false" customHeight="false" outlineLevel="0" collapsed="false">
      <c r="A13" s="10"/>
    </row>
    <row r="15" customFormat="false" ht="31.5" hidden="false" customHeight="true" outlineLevel="0" collapsed="false">
      <c r="A15" s="11" t="s">
        <v>1</v>
      </c>
      <c r="B15" s="11" t="s">
        <v>12</v>
      </c>
      <c r="C15" s="11" t="s">
        <v>13</v>
      </c>
      <c r="D15" s="11" t="s">
        <v>14</v>
      </c>
      <c r="E15" s="11" t="s">
        <v>15</v>
      </c>
      <c r="F15" s="11" t="s">
        <v>2</v>
      </c>
      <c r="G15" s="11" t="s">
        <v>16</v>
      </c>
      <c r="M15" s="11" t="s">
        <v>17</v>
      </c>
    </row>
    <row r="16" customFormat="false" ht="39.55" hidden="false" customHeight="false" outlineLevel="0" collapsed="false">
      <c r="A16" s="12" t="s">
        <v>3</v>
      </c>
      <c r="B16" s="13" t="s">
        <v>18</v>
      </c>
      <c r="C16" s="13" t="s">
        <v>19</v>
      </c>
      <c r="D16" s="13" t="s">
        <v>20</v>
      </c>
      <c r="E16" s="14" t="n">
        <v>1000000</v>
      </c>
      <c r="F16" s="15" t="n">
        <f aca="false">INDEX($E$3:$E$11,MATCH(A16,$A$3:$A$11,0))</f>
        <v>1</v>
      </c>
      <c r="G16" s="16" t="n">
        <f aca="false">IF(H16="",E16,H16)*F16</f>
        <v>1000000</v>
      </c>
      <c r="M16" s="17" t="n">
        <f aca="false">G16-ROW()/1000000</f>
        <v>999999.999984</v>
      </c>
    </row>
    <row r="17" customFormat="false" ht="26.85" hidden="false" customHeight="false" outlineLevel="0" collapsed="false">
      <c r="A17" s="12" t="s">
        <v>3</v>
      </c>
      <c r="B17" s="13" t="s">
        <v>21</v>
      </c>
      <c r="C17" s="13" t="s">
        <v>19</v>
      </c>
      <c r="D17" s="13" t="s">
        <v>22</v>
      </c>
      <c r="E17" s="14" t="n">
        <v>200000</v>
      </c>
      <c r="F17" s="15" t="n">
        <f aca="false">INDEX($E$3:$E$11,MATCH(A17,$A$3:$A$11,0))</f>
        <v>1</v>
      </c>
      <c r="G17" s="16" t="n">
        <f aca="false">IF(H17="",E17,H17)*F17</f>
        <v>200000</v>
      </c>
      <c r="M17" s="17" t="n">
        <f aca="false">G17-ROW()/1000000</f>
        <v>199999.999983</v>
      </c>
    </row>
    <row r="18" customFormat="false" ht="26.85" hidden="false" customHeight="false" outlineLevel="0" collapsed="false">
      <c r="A18" s="12" t="s">
        <v>3</v>
      </c>
      <c r="B18" s="13" t="s">
        <v>23</v>
      </c>
      <c r="C18" s="13" t="s">
        <v>19</v>
      </c>
      <c r="D18" s="13" t="s">
        <v>24</v>
      </c>
      <c r="E18" s="14" t="n">
        <v>120000</v>
      </c>
      <c r="F18" s="15" t="n">
        <f aca="false">INDEX($E$3:$E$11,MATCH(A18,$A$3:$A$11,0))</f>
        <v>1</v>
      </c>
      <c r="G18" s="16" t="n">
        <f aca="false">IF(H18="",E18,H18)*F18</f>
        <v>120000</v>
      </c>
      <c r="M18" s="17" t="n">
        <f aca="false">G18-ROW()/1000000</f>
        <v>119999.999982</v>
      </c>
    </row>
    <row r="19" customFormat="false" ht="26.85" hidden="false" customHeight="false" outlineLevel="0" collapsed="false">
      <c r="A19" s="12" t="s">
        <v>3</v>
      </c>
      <c r="B19" s="13" t="s">
        <v>25</v>
      </c>
      <c r="C19" s="13" t="s">
        <v>19</v>
      </c>
      <c r="D19" s="13" t="s">
        <v>26</v>
      </c>
      <c r="E19" s="14" t="n">
        <v>150000</v>
      </c>
      <c r="F19" s="15" t="n">
        <f aca="false">INDEX($E$3:$E$11,MATCH(A19,$A$3:$A$11,0))</f>
        <v>1</v>
      </c>
      <c r="G19" s="16" t="n">
        <f aca="false">IF(H19="",E19,H19)*F19</f>
        <v>150000</v>
      </c>
      <c r="M19" s="17" t="n">
        <f aca="false">G19-ROW()/1000000</f>
        <v>149999.999981</v>
      </c>
    </row>
    <row r="20" customFormat="false" ht="26.85" hidden="false" customHeight="false" outlineLevel="0" collapsed="false">
      <c r="A20" s="12" t="s">
        <v>3</v>
      </c>
      <c r="B20" s="13" t="s">
        <v>27</v>
      </c>
      <c r="C20" s="13" t="s">
        <v>19</v>
      </c>
      <c r="D20" s="13" t="s">
        <v>28</v>
      </c>
      <c r="E20" s="14" t="n">
        <v>120000</v>
      </c>
      <c r="F20" s="15" t="n">
        <f aca="false">INDEX($E$3:$E$11,MATCH(A20,$A$3:$A$11,0))</f>
        <v>1</v>
      </c>
      <c r="G20" s="16" t="n">
        <f aca="false">IF(H20="",E20,H20)*F20</f>
        <v>120000</v>
      </c>
      <c r="M20" s="17" t="n">
        <f aca="false">G20-ROW()/1000000</f>
        <v>119999.99998</v>
      </c>
    </row>
    <row r="21" customFormat="false" ht="39.55" hidden="false" customHeight="false" outlineLevel="0" collapsed="false">
      <c r="A21" s="12" t="s">
        <v>3</v>
      </c>
      <c r="B21" s="13" t="s">
        <v>29</v>
      </c>
      <c r="C21" s="13" t="s">
        <v>19</v>
      </c>
      <c r="D21" s="13" t="s">
        <v>30</v>
      </c>
      <c r="E21" s="14" t="n">
        <v>50000</v>
      </c>
      <c r="F21" s="15" t="n">
        <f aca="false">INDEX($E$3:$E$11,MATCH(A21,$A$3:$A$11,0))</f>
        <v>1</v>
      </c>
      <c r="G21" s="16" t="n">
        <f aca="false">IF(H21="",E21,H21)*F21</f>
        <v>50000</v>
      </c>
      <c r="M21" s="17" t="n">
        <f aca="false">G21-ROW()/1000000</f>
        <v>49999.999979</v>
      </c>
    </row>
    <row r="22" customFormat="false" ht="26.85" hidden="false" customHeight="false" outlineLevel="0" collapsed="false">
      <c r="A22" s="12" t="s">
        <v>3</v>
      </c>
      <c r="B22" s="13" t="s">
        <v>31</v>
      </c>
      <c r="C22" s="13" t="s">
        <v>19</v>
      </c>
      <c r="D22" s="13" t="s">
        <v>32</v>
      </c>
      <c r="E22" s="14" t="n">
        <v>30000</v>
      </c>
      <c r="F22" s="15" t="n">
        <f aca="false">INDEX($E$3:$E$11,MATCH(A22,$A$3:$A$11,0))</f>
        <v>1</v>
      </c>
      <c r="G22" s="16" t="n">
        <f aca="false">IF(H22="",E22,H22)*F22</f>
        <v>30000</v>
      </c>
      <c r="M22" s="17" t="n">
        <f aca="false">G22-ROW()/1000000</f>
        <v>29999.999978</v>
      </c>
    </row>
    <row r="23" customFormat="false" ht="26.85" hidden="false" customHeight="false" outlineLevel="0" collapsed="false">
      <c r="A23" s="12" t="s">
        <v>3</v>
      </c>
      <c r="B23" s="13" t="s">
        <v>33</v>
      </c>
      <c r="C23" s="13" t="s">
        <v>19</v>
      </c>
      <c r="D23" s="13" t="s">
        <v>34</v>
      </c>
      <c r="E23" s="14" t="n">
        <v>50000</v>
      </c>
      <c r="F23" s="15" t="n">
        <f aca="false">INDEX($E$3:$E$11,MATCH(A23,$A$3:$A$11,0))</f>
        <v>1</v>
      </c>
      <c r="G23" s="16" t="n">
        <f aca="false">IF(H23="",E23,H23)*F23</f>
        <v>50000</v>
      </c>
      <c r="M23" s="17" t="n">
        <f aca="false">G23-ROW()/1000000</f>
        <v>49999.999977</v>
      </c>
    </row>
    <row r="24" customFormat="false" ht="26.85" hidden="false" customHeight="false" outlineLevel="0" collapsed="false">
      <c r="A24" s="12" t="s">
        <v>3</v>
      </c>
      <c r="B24" s="13" t="s">
        <v>35</v>
      </c>
      <c r="C24" s="13" t="s">
        <v>19</v>
      </c>
      <c r="D24" s="13" t="s">
        <v>36</v>
      </c>
      <c r="E24" s="14" t="n">
        <v>50000</v>
      </c>
      <c r="F24" s="15" t="n">
        <f aca="false">INDEX($E$3:$E$11,MATCH(A24,$A$3:$A$11,0))</f>
        <v>1</v>
      </c>
      <c r="G24" s="16" t="n">
        <f aca="false">IF(H24="",E24,H24)*F24</f>
        <v>50000</v>
      </c>
      <c r="M24" s="17" t="n">
        <f aca="false">G24-ROW()/1000000</f>
        <v>49999.999976</v>
      </c>
    </row>
    <row r="25" customFormat="false" ht="26.85" hidden="false" customHeight="false" outlineLevel="0" collapsed="false">
      <c r="A25" s="12" t="s">
        <v>3</v>
      </c>
      <c r="B25" s="13" t="s">
        <v>37</v>
      </c>
      <c r="C25" s="13" t="s">
        <v>19</v>
      </c>
      <c r="D25" s="13" t="s">
        <v>26</v>
      </c>
      <c r="E25" s="14" t="n">
        <v>50000</v>
      </c>
      <c r="F25" s="15" t="n">
        <f aca="false">INDEX($E$3:$E$11,MATCH(A25,$A$3:$A$11,0))</f>
        <v>1</v>
      </c>
      <c r="G25" s="16" t="n">
        <f aca="false">IF(H25="",E25,H25)*F25</f>
        <v>50000</v>
      </c>
      <c r="M25" s="17" t="n">
        <f aca="false">G25-ROW()/1000000</f>
        <v>49999.999975</v>
      </c>
    </row>
    <row r="26" customFormat="false" ht="52.2" hidden="false" customHeight="false" outlineLevel="0" collapsed="false">
      <c r="A26" s="12" t="s">
        <v>3</v>
      </c>
      <c r="B26" s="13" t="s">
        <v>38</v>
      </c>
      <c r="C26" s="13" t="s">
        <v>39</v>
      </c>
      <c r="D26" s="13" t="s">
        <v>40</v>
      </c>
      <c r="E26" s="14" t="n">
        <v>40000</v>
      </c>
      <c r="F26" s="15" t="n">
        <f aca="false">INDEX($E$3:$E$11,MATCH(A26,$A$3:$A$11,0))</f>
        <v>1</v>
      </c>
      <c r="G26" s="16" t="n">
        <f aca="false">IF(H26="",E26,H26)*F26</f>
        <v>40000</v>
      </c>
      <c r="M26" s="17" t="n">
        <f aca="false">G26-ROW()/1000000</f>
        <v>39999.999974</v>
      </c>
    </row>
    <row r="27" customFormat="false" ht="26.85" hidden="false" customHeight="false" outlineLevel="0" collapsed="false">
      <c r="A27" s="12" t="s">
        <v>3</v>
      </c>
      <c r="B27" s="13" t="s">
        <v>41</v>
      </c>
      <c r="C27" s="13" t="s">
        <v>19</v>
      </c>
      <c r="D27" s="13" t="s">
        <v>42</v>
      </c>
      <c r="E27" s="14" t="n">
        <v>70000</v>
      </c>
      <c r="F27" s="15" t="n">
        <f aca="false">INDEX($E$3:$E$11,MATCH(A27,$A$3:$A$11,0))</f>
        <v>1</v>
      </c>
      <c r="G27" s="16" t="n">
        <f aca="false">IF(H27="",E27,H27)*F27</f>
        <v>70000</v>
      </c>
      <c r="M27" s="17" t="n">
        <f aca="false">G27-ROW()/1000000</f>
        <v>69999.999973</v>
      </c>
    </row>
    <row r="28" customFormat="false" ht="39.55" hidden="false" customHeight="false" outlineLevel="0" collapsed="false">
      <c r="A28" s="12" t="s">
        <v>3</v>
      </c>
      <c r="B28" s="13" t="s">
        <v>43</v>
      </c>
      <c r="C28" s="13" t="s">
        <v>44</v>
      </c>
      <c r="D28" s="13" t="s">
        <v>45</v>
      </c>
      <c r="E28" s="14" t="n">
        <v>20000</v>
      </c>
      <c r="F28" s="15" t="n">
        <f aca="false">INDEX($E$3:$E$11,MATCH(A28,$A$3:$A$11,0))</f>
        <v>1</v>
      </c>
      <c r="G28" s="16" t="n">
        <f aca="false">IF(H28="",E28,H28)*F28</f>
        <v>20000</v>
      </c>
      <c r="M28" s="17" t="n">
        <f aca="false">G28-ROW()/1000000</f>
        <v>19999.999972</v>
      </c>
    </row>
    <row r="29" customFormat="false" ht="52.2" hidden="false" customHeight="false" outlineLevel="0" collapsed="false">
      <c r="A29" s="12" t="s">
        <v>3</v>
      </c>
      <c r="B29" s="13" t="s">
        <v>46</v>
      </c>
      <c r="C29" s="13" t="s">
        <v>44</v>
      </c>
      <c r="D29" s="13" t="s">
        <v>47</v>
      </c>
      <c r="E29" s="14" t="n">
        <v>16000</v>
      </c>
      <c r="F29" s="15" t="n">
        <f aca="false">INDEX($E$3:$E$11,MATCH(A29,$A$3:$A$11,0))</f>
        <v>1</v>
      </c>
      <c r="G29" s="16" t="n">
        <f aca="false">IF(H29="",E29,H29)*F29</f>
        <v>16000</v>
      </c>
      <c r="M29" s="17" t="n">
        <f aca="false">G29-ROW()/1000000</f>
        <v>15999.999971</v>
      </c>
    </row>
    <row r="30" customFormat="false" ht="26.85" hidden="false" customHeight="false" outlineLevel="0" collapsed="false">
      <c r="A30" s="12" t="s">
        <v>3</v>
      </c>
      <c r="B30" s="13" t="s">
        <v>48</v>
      </c>
      <c r="C30" s="13" t="s">
        <v>49</v>
      </c>
      <c r="D30" s="13" t="s">
        <v>50</v>
      </c>
      <c r="E30" s="14" t="n">
        <v>20000</v>
      </c>
      <c r="F30" s="15" t="n">
        <f aca="false">INDEX($E$3:$E$11,MATCH(A30,$A$3:$A$11,0))</f>
        <v>1</v>
      </c>
      <c r="G30" s="16" t="n">
        <f aca="false">IF(H30="",E30,H30)*F30</f>
        <v>20000</v>
      </c>
      <c r="M30" s="17" t="n">
        <f aca="false">G30-ROW()/1000000</f>
        <v>19999.99997</v>
      </c>
    </row>
    <row r="31" customFormat="false" ht="39.55" hidden="false" customHeight="false" outlineLevel="0" collapsed="false">
      <c r="A31" s="12" t="s">
        <v>3</v>
      </c>
      <c r="B31" s="13" t="s">
        <v>51</v>
      </c>
      <c r="C31" s="13" t="s">
        <v>49</v>
      </c>
      <c r="D31" s="13" t="s">
        <v>52</v>
      </c>
      <c r="E31" s="14" t="n">
        <v>20000</v>
      </c>
      <c r="F31" s="15" t="n">
        <f aca="false">INDEX($E$3:$E$11,MATCH(A31,$A$3:$A$11,0))</f>
        <v>1</v>
      </c>
      <c r="G31" s="16" t="n">
        <f aca="false">IF(H31="",E31,H31)*F31</f>
        <v>20000</v>
      </c>
      <c r="M31" s="17" t="n">
        <f aca="false">G31-ROW()/1000000</f>
        <v>19999.999969</v>
      </c>
    </row>
    <row r="32" customFormat="false" ht="26.85" hidden="false" customHeight="false" outlineLevel="0" collapsed="false">
      <c r="A32" s="12" t="s">
        <v>3</v>
      </c>
      <c r="B32" s="13" t="s">
        <v>53</v>
      </c>
      <c r="C32" s="13" t="s">
        <v>49</v>
      </c>
      <c r="D32" s="13" t="s">
        <v>54</v>
      </c>
      <c r="E32" s="14" t="n">
        <v>25000</v>
      </c>
      <c r="F32" s="15" t="n">
        <f aca="false">INDEX($E$3:$E$11,MATCH(A32,$A$3:$A$11,0))</f>
        <v>1</v>
      </c>
      <c r="G32" s="16" t="n">
        <f aca="false">IF(H32="",E32,H32)*F32</f>
        <v>25000</v>
      </c>
      <c r="M32" s="17" t="n">
        <f aca="false">G32-ROW()/1000000</f>
        <v>24999.999968</v>
      </c>
    </row>
    <row r="33" customFormat="false" ht="39.55" hidden="false" customHeight="false" outlineLevel="0" collapsed="false">
      <c r="A33" s="12" t="s">
        <v>3</v>
      </c>
      <c r="B33" s="13" t="s">
        <v>55</v>
      </c>
      <c r="C33" s="13" t="s">
        <v>44</v>
      </c>
      <c r="D33" s="13" t="s">
        <v>56</v>
      </c>
      <c r="E33" s="14" t="n">
        <v>24000</v>
      </c>
      <c r="F33" s="15" t="n">
        <f aca="false">INDEX($E$3:$E$11,MATCH(A33,$A$3:$A$11,0))</f>
        <v>1</v>
      </c>
      <c r="G33" s="16" t="n">
        <f aca="false">IF(H33="",E33,H33)*F33</f>
        <v>24000</v>
      </c>
      <c r="M33" s="17" t="n">
        <f aca="false">G33-ROW()/1000000</f>
        <v>23999.999967</v>
      </c>
    </row>
    <row r="34" customFormat="false" ht="52.2" hidden="false" customHeight="false" outlineLevel="0" collapsed="false">
      <c r="A34" s="12" t="s">
        <v>3</v>
      </c>
      <c r="B34" s="13" t="s">
        <v>57</v>
      </c>
      <c r="C34" s="13" t="s">
        <v>49</v>
      </c>
      <c r="D34" s="13" t="s">
        <v>58</v>
      </c>
      <c r="E34" s="14" t="n">
        <v>8000</v>
      </c>
      <c r="F34" s="15" t="n">
        <f aca="false">INDEX($E$3:$E$11,MATCH(A34,$A$3:$A$11,0))</f>
        <v>1</v>
      </c>
      <c r="G34" s="16" t="n">
        <f aca="false">IF(H34="",E34,H34)*F34</f>
        <v>8000</v>
      </c>
      <c r="M34" s="17" t="n">
        <f aca="false">G34-ROW()/1000000</f>
        <v>7999.999966</v>
      </c>
    </row>
    <row r="35" customFormat="false" ht="52.2" hidden="false" customHeight="false" outlineLevel="0" collapsed="false">
      <c r="A35" s="12" t="s">
        <v>3</v>
      </c>
      <c r="B35" s="13" t="s">
        <v>59</v>
      </c>
      <c r="C35" s="13" t="s">
        <v>49</v>
      </c>
      <c r="D35" s="13" t="s">
        <v>60</v>
      </c>
      <c r="E35" s="14" t="n">
        <v>5000</v>
      </c>
      <c r="F35" s="15" t="n">
        <f aca="false">INDEX($E$3:$E$11,MATCH(A35,$A$3:$A$11,0))</f>
        <v>1</v>
      </c>
      <c r="G35" s="16" t="n">
        <f aca="false">IF(H35="",E35,H35)*F35</f>
        <v>5000</v>
      </c>
      <c r="M35" s="17" t="n">
        <f aca="false">G35-ROW()/1000000</f>
        <v>4999.999965</v>
      </c>
    </row>
    <row r="36" customFormat="false" ht="26.85" hidden="false" customHeight="false" outlineLevel="0" collapsed="false">
      <c r="A36" s="18" t="s">
        <v>4</v>
      </c>
      <c r="B36" s="19" t="s">
        <v>61</v>
      </c>
      <c r="C36" s="19" t="s">
        <v>62</v>
      </c>
      <c r="D36" s="19" t="s">
        <v>63</v>
      </c>
      <c r="E36" s="14" t="n">
        <v>60000</v>
      </c>
      <c r="F36" s="15" t="n">
        <f aca="false">INDEX($E$3:$E$11,MATCH(A36,$A$3:$A$11,0))</f>
        <v>1</v>
      </c>
      <c r="G36" s="16" t="n">
        <f aca="false">IF(H36="",E36,H36)*F36</f>
        <v>60000</v>
      </c>
      <c r="M36" s="17" t="n">
        <f aca="false">G36-ROW()/1000000</f>
        <v>59999.999964</v>
      </c>
    </row>
    <row r="37" customFormat="false" ht="15" hidden="false" customHeight="false" outlineLevel="0" collapsed="false">
      <c r="A37" s="18" t="s">
        <v>4</v>
      </c>
      <c r="B37" s="19" t="s">
        <v>64</v>
      </c>
      <c r="C37" s="19" t="s">
        <v>65</v>
      </c>
      <c r="D37" s="19" t="s">
        <v>66</v>
      </c>
      <c r="E37" s="14" t="n">
        <v>15000</v>
      </c>
      <c r="F37" s="15" t="n">
        <f aca="false">INDEX($E$3:$E$11,MATCH(A37,$A$3:$A$11,0))</f>
        <v>1</v>
      </c>
      <c r="G37" s="16" t="n">
        <f aca="false">IF(H37="",E37,H37)*F37</f>
        <v>15000</v>
      </c>
      <c r="M37" s="17" t="n">
        <f aca="false">G37-ROW()/1000000</f>
        <v>14999.999963</v>
      </c>
    </row>
    <row r="38" customFormat="false" ht="26.85" hidden="false" customHeight="false" outlineLevel="0" collapsed="false">
      <c r="A38" s="18" t="s">
        <v>4</v>
      </c>
      <c r="B38" s="19" t="s">
        <v>67</v>
      </c>
      <c r="C38" s="19" t="s">
        <v>68</v>
      </c>
      <c r="D38" s="19" t="s">
        <v>69</v>
      </c>
      <c r="E38" s="14" t="n">
        <v>10000</v>
      </c>
      <c r="F38" s="15" t="n">
        <f aca="false">INDEX($E$3:$E$11,MATCH(A38,$A$3:$A$11,0))</f>
        <v>1</v>
      </c>
      <c r="G38" s="16" t="n">
        <f aca="false">IF(H38="",E38,H38)*F38</f>
        <v>10000</v>
      </c>
      <c r="M38" s="17" t="n">
        <f aca="false">G38-ROW()/1000000</f>
        <v>9999.999962</v>
      </c>
    </row>
    <row r="39" customFormat="false" ht="26.85" hidden="false" customHeight="false" outlineLevel="0" collapsed="false">
      <c r="A39" s="18" t="s">
        <v>4</v>
      </c>
      <c r="B39" s="19" t="s">
        <v>70</v>
      </c>
      <c r="C39" s="19" t="s">
        <v>71</v>
      </c>
      <c r="D39" s="19" t="s">
        <v>72</v>
      </c>
      <c r="E39" s="14" t="n">
        <v>20000</v>
      </c>
      <c r="F39" s="15" t="n">
        <f aca="false">INDEX($E$3:$E$11,MATCH(A39,$A$3:$A$11,0))</f>
        <v>1</v>
      </c>
      <c r="G39" s="16" t="n">
        <f aca="false">IF(H39="",E39,H39)*F39</f>
        <v>20000</v>
      </c>
      <c r="M39" s="17" t="n">
        <f aca="false">G39-ROW()/1000000</f>
        <v>19999.999961</v>
      </c>
    </row>
    <row r="40" customFormat="false" ht="15" hidden="false" customHeight="false" outlineLevel="0" collapsed="false">
      <c r="A40" s="18" t="s">
        <v>4</v>
      </c>
      <c r="B40" s="19" t="s">
        <v>73</v>
      </c>
      <c r="C40" s="19" t="s">
        <v>74</v>
      </c>
      <c r="D40" s="19" t="s">
        <v>75</v>
      </c>
      <c r="E40" s="14" t="n">
        <v>15000</v>
      </c>
      <c r="F40" s="15" t="n">
        <f aca="false">INDEX($E$3:$E$11,MATCH(A40,$A$3:$A$11,0))</f>
        <v>1</v>
      </c>
      <c r="G40" s="16" t="n">
        <f aca="false">IF(H40="",E40,H40)*F40</f>
        <v>15000</v>
      </c>
      <c r="M40" s="17" t="n">
        <f aca="false">G40-ROW()/1000000</f>
        <v>14999.99996</v>
      </c>
    </row>
    <row r="41" customFormat="false" ht="69.4" hidden="false" customHeight="true" outlineLevel="0" collapsed="false">
      <c r="A41" s="18" t="s">
        <v>4</v>
      </c>
      <c r="B41" s="19" t="s">
        <v>76</v>
      </c>
      <c r="C41" s="19" t="s">
        <v>77</v>
      </c>
      <c r="D41" s="19" t="s">
        <v>78</v>
      </c>
      <c r="E41" s="14" t="n">
        <v>15000</v>
      </c>
      <c r="F41" s="15" t="n">
        <f aca="false">INDEX($E$3:$E$11,MATCH(A41,$A$3:$A$11,0))</f>
        <v>1</v>
      </c>
      <c r="G41" s="16" t="n">
        <f aca="false">IF(H41="",E41,H41)*F41</f>
        <v>15000</v>
      </c>
      <c r="M41" s="17" t="n">
        <f aca="false">G41-ROW()/1000000</f>
        <v>14999.999959</v>
      </c>
    </row>
    <row r="42" customFormat="false" ht="26.85" hidden="false" customHeight="false" outlineLevel="0" collapsed="false">
      <c r="A42" s="18" t="s">
        <v>4</v>
      </c>
      <c r="B42" s="19" t="s">
        <v>79</v>
      </c>
      <c r="C42" s="19" t="s">
        <v>80</v>
      </c>
      <c r="D42" s="19" t="s">
        <v>81</v>
      </c>
      <c r="E42" s="14" t="n">
        <v>45000</v>
      </c>
      <c r="F42" s="15" t="n">
        <f aca="false">INDEX($E$3:$E$11,MATCH(A42,$A$3:$A$11,0))</f>
        <v>1</v>
      </c>
      <c r="G42" s="16" t="n">
        <f aca="false">IF(H42="",E42,H42)*F42</f>
        <v>45000</v>
      </c>
      <c r="M42" s="17" t="n">
        <f aca="false">G42-ROW()/1000000</f>
        <v>44999.999958</v>
      </c>
    </row>
    <row r="43" customFormat="false" ht="26.85" hidden="false" customHeight="false" outlineLevel="0" collapsed="false">
      <c r="A43" s="18" t="s">
        <v>4</v>
      </c>
      <c r="B43" s="19" t="s">
        <v>82</v>
      </c>
      <c r="C43" s="19" t="s">
        <v>83</v>
      </c>
      <c r="D43" s="19" t="s">
        <v>84</v>
      </c>
      <c r="E43" s="14" t="n">
        <v>25000</v>
      </c>
      <c r="F43" s="15" t="n">
        <f aca="false">INDEX($E$3:$E$11,MATCH(A43,$A$3:$A$11,0))</f>
        <v>1</v>
      </c>
      <c r="G43" s="16" t="n">
        <f aca="false">IF(H43="",E43,H43)*F43</f>
        <v>25000</v>
      </c>
      <c r="M43" s="17" t="n">
        <f aca="false">G43-ROW()/1000000</f>
        <v>24999.999957</v>
      </c>
    </row>
    <row r="44" customFormat="false" ht="26.85" hidden="false" customHeight="false" outlineLevel="0" collapsed="false">
      <c r="A44" s="18" t="s">
        <v>4</v>
      </c>
      <c r="B44" s="19" t="s">
        <v>85</v>
      </c>
      <c r="C44" s="19" t="s">
        <v>86</v>
      </c>
      <c r="D44" s="19" t="s">
        <v>87</v>
      </c>
      <c r="E44" s="14" t="n">
        <v>20000</v>
      </c>
      <c r="F44" s="15" t="n">
        <f aca="false">INDEX($E$3:$E$11,MATCH(A44,$A$3:$A$11,0))</f>
        <v>1</v>
      </c>
      <c r="G44" s="16" t="n">
        <f aca="false">IF(H44="",E44,H44)*F44</f>
        <v>20000</v>
      </c>
      <c r="M44" s="17" t="n">
        <f aca="false">G44-ROW()/1000000</f>
        <v>19999.999956</v>
      </c>
    </row>
    <row r="45" customFormat="false" ht="26.85" hidden="false" customHeight="false" outlineLevel="0" collapsed="false">
      <c r="A45" s="18" t="s">
        <v>4</v>
      </c>
      <c r="B45" s="19" t="s">
        <v>88</v>
      </c>
      <c r="C45" s="19" t="s">
        <v>89</v>
      </c>
      <c r="D45" s="19" t="s">
        <v>90</v>
      </c>
      <c r="E45" s="14" t="n">
        <v>18000</v>
      </c>
      <c r="F45" s="15" t="n">
        <f aca="false">INDEX($E$3:$E$11,MATCH(A45,$A$3:$A$11,0))</f>
        <v>1</v>
      </c>
      <c r="G45" s="16" t="n">
        <f aca="false">IF(H45="",E45,H45)*F45</f>
        <v>18000</v>
      </c>
      <c r="M45" s="17" t="n">
        <f aca="false">G45-ROW()/1000000</f>
        <v>17999.999955</v>
      </c>
    </row>
    <row r="46" customFormat="false" ht="26.85" hidden="false" customHeight="false" outlineLevel="0" collapsed="false">
      <c r="A46" s="18" t="s">
        <v>4</v>
      </c>
      <c r="B46" s="19" t="s">
        <v>91</v>
      </c>
      <c r="C46" s="19" t="s">
        <v>74</v>
      </c>
      <c r="D46" s="19" t="s">
        <v>90</v>
      </c>
      <c r="E46" s="14" t="n">
        <v>12000</v>
      </c>
      <c r="F46" s="15" t="n">
        <f aca="false">INDEX($E$3:$E$11,MATCH(A46,$A$3:$A$11,0))</f>
        <v>1</v>
      </c>
      <c r="G46" s="16" t="n">
        <f aca="false">IF(H46="",E46,H46)*F46</f>
        <v>12000</v>
      </c>
      <c r="M46" s="17" t="n">
        <f aca="false">G46-ROW()/1000000</f>
        <v>11999.999954</v>
      </c>
    </row>
    <row r="47" customFormat="false" ht="26.85" hidden="false" customHeight="false" outlineLevel="0" collapsed="false">
      <c r="A47" s="18" t="s">
        <v>4</v>
      </c>
      <c r="B47" s="19" t="s">
        <v>92</v>
      </c>
      <c r="C47" s="19" t="s">
        <v>93</v>
      </c>
      <c r="D47" s="19" t="s">
        <v>90</v>
      </c>
      <c r="E47" s="14" t="n">
        <v>9000</v>
      </c>
      <c r="F47" s="15" t="n">
        <f aca="false">INDEX($E$3:$E$11,MATCH(A47,$A$3:$A$11,0))</f>
        <v>1</v>
      </c>
      <c r="G47" s="16" t="n">
        <f aca="false">IF(H47="",E47,H47)*F47</f>
        <v>9000</v>
      </c>
      <c r="M47" s="17" t="n">
        <f aca="false">G47-ROW()/1000000</f>
        <v>8999.999953</v>
      </c>
    </row>
    <row r="48" customFormat="false" ht="26.85" hidden="false" customHeight="false" outlineLevel="0" collapsed="false">
      <c r="A48" s="18" t="s">
        <v>4</v>
      </c>
      <c r="B48" s="19" t="s">
        <v>94</v>
      </c>
      <c r="C48" s="19" t="s">
        <v>95</v>
      </c>
      <c r="D48" s="19" t="s">
        <v>96</v>
      </c>
      <c r="E48" s="14" t="n">
        <v>7000</v>
      </c>
      <c r="F48" s="15" t="n">
        <f aca="false">INDEX($E$3:$E$11,MATCH(A48,$A$3:$A$11,0))</f>
        <v>1</v>
      </c>
      <c r="G48" s="16" t="n">
        <f aca="false">IF(H48="",E48,H48)*F48</f>
        <v>7000</v>
      </c>
      <c r="M48" s="17" t="n">
        <f aca="false">G48-ROW()/1000000</f>
        <v>6999.999952</v>
      </c>
    </row>
    <row r="49" customFormat="false" ht="15" hidden="false" customHeight="false" outlineLevel="0" collapsed="false">
      <c r="A49" s="18" t="s">
        <v>4</v>
      </c>
      <c r="B49" s="19" t="s">
        <v>97</v>
      </c>
      <c r="C49" s="19" t="s">
        <v>98</v>
      </c>
      <c r="D49" s="19" t="s">
        <v>99</v>
      </c>
      <c r="E49" s="14" t="n">
        <v>4000</v>
      </c>
      <c r="F49" s="15" t="n">
        <f aca="false">INDEX($E$3:$E$11,MATCH(A49,$A$3:$A$11,0))</f>
        <v>1</v>
      </c>
      <c r="G49" s="16" t="n">
        <f aca="false">IF(H49="",E49,H49)*F49</f>
        <v>4000</v>
      </c>
      <c r="M49" s="17" t="n">
        <f aca="false">G49-ROW()/1000000</f>
        <v>3999.999951</v>
      </c>
    </row>
    <row r="50" customFormat="false" ht="26.85" hidden="false" customHeight="false" outlineLevel="0" collapsed="false">
      <c r="A50" s="18" t="s">
        <v>4</v>
      </c>
      <c r="B50" s="19" t="s">
        <v>100</v>
      </c>
      <c r="C50" s="19" t="s">
        <v>101</v>
      </c>
      <c r="D50" s="19" t="s">
        <v>102</v>
      </c>
      <c r="E50" s="14" t="n">
        <v>5000</v>
      </c>
      <c r="F50" s="15" t="n">
        <f aca="false">INDEX($E$3:$E$11,MATCH(A50,$A$3:$A$11,0))</f>
        <v>1</v>
      </c>
      <c r="G50" s="16" t="n">
        <f aca="false">IF(H50="",E50,H50)*F50</f>
        <v>5000</v>
      </c>
      <c r="M50" s="17" t="n">
        <f aca="false">G50-ROW()/1000000</f>
        <v>4999.99995</v>
      </c>
    </row>
    <row r="51" customFormat="false" ht="26.85" hidden="false" customHeight="false" outlineLevel="0" collapsed="false">
      <c r="A51" s="18" t="s">
        <v>4</v>
      </c>
      <c r="B51" s="19" t="s">
        <v>103</v>
      </c>
      <c r="C51" s="19" t="s">
        <v>104</v>
      </c>
      <c r="D51" s="19" t="s">
        <v>105</v>
      </c>
      <c r="E51" s="14" t="n">
        <v>12000</v>
      </c>
      <c r="F51" s="15" t="n">
        <f aca="false">INDEX($E$3:$E$11,MATCH(A51,$A$3:$A$11,0))</f>
        <v>1</v>
      </c>
      <c r="G51" s="16" t="n">
        <f aca="false">IF(H51="",E51,H51)*F51</f>
        <v>12000</v>
      </c>
      <c r="M51" s="17" t="n">
        <f aca="false">G51-ROW()/1000000</f>
        <v>11999.999949</v>
      </c>
    </row>
    <row r="52" customFormat="false" ht="26.85" hidden="false" customHeight="false" outlineLevel="0" collapsed="false">
      <c r="A52" s="18" t="s">
        <v>4</v>
      </c>
      <c r="B52" s="19" t="s">
        <v>106</v>
      </c>
      <c r="C52" s="19" t="s">
        <v>107</v>
      </c>
      <c r="D52" s="19" t="s">
        <v>90</v>
      </c>
      <c r="E52" s="14" t="n">
        <v>10000</v>
      </c>
      <c r="F52" s="15" t="n">
        <f aca="false">INDEX($E$3:$E$11,MATCH(A52,$A$3:$A$11,0))</f>
        <v>1</v>
      </c>
      <c r="G52" s="16" t="n">
        <f aca="false">IF(H52="",E52,H52)*F52</f>
        <v>10000</v>
      </c>
      <c r="M52" s="17" t="n">
        <f aca="false">G52-ROW()/1000000</f>
        <v>9999.999948</v>
      </c>
    </row>
    <row r="53" customFormat="false" ht="15" hidden="false" customHeight="false" outlineLevel="0" collapsed="false">
      <c r="A53" s="18" t="s">
        <v>4</v>
      </c>
      <c r="B53" s="19" t="s">
        <v>108</v>
      </c>
      <c r="C53" s="19" t="s">
        <v>109</v>
      </c>
      <c r="D53" s="19" t="s">
        <v>110</v>
      </c>
      <c r="E53" s="14" t="n">
        <v>2000</v>
      </c>
      <c r="F53" s="15" t="n">
        <f aca="false">INDEX($E$3:$E$11,MATCH(A53,$A$3:$A$11,0))</f>
        <v>1</v>
      </c>
      <c r="G53" s="16" t="n">
        <f aca="false">IF(H53="",E53,H53)*F53</f>
        <v>2000</v>
      </c>
      <c r="M53" s="17" t="n">
        <f aca="false">G53-ROW()/1000000</f>
        <v>1999.999947</v>
      </c>
    </row>
    <row r="54" customFormat="false" ht="26.85" hidden="false" customHeight="false" outlineLevel="0" collapsed="false">
      <c r="A54" s="18" t="s">
        <v>4</v>
      </c>
      <c r="B54" s="19" t="s">
        <v>111</v>
      </c>
      <c r="C54" s="19" t="s">
        <v>112</v>
      </c>
      <c r="D54" s="19" t="s">
        <v>113</v>
      </c>
      <c r="E54" s="14" t="n">
        <v>6000</v>
      </c>
      <c r="F54" s="15" t="n">
        <f aca="false">INDEX($E$3:$E$11,MATCH(A54,$A$3:$A$11,0))</f>
        <v>1</v>
      </c>
      <c r="G54" s="16" t="n">
        <f aca="false">IF(H54="",E54,H54)*F54</f>
        <v>6000</v>
      </c>
      <c r="M54" s="17" t="n">
        <f aca="false">G54-ROW()/1000000</f>
        <v>5999.999946</v>
      </c>
    </row>
    <row r="55" customFormat="false" ht="15" hidden="false" customHeight="false" outlineLevel="0" collapsed="false">
      <c r="A55" s="18" t="s">
        <v>4</v>
      </c>
      <c r="B55" s="19" t="s">
        <v>114</v>
      </c>
      <c r="C55" s="19" t="s">
        <v>115</v>
      </c>
      <c r="D55" s="19" t="s">
        <v>110</v>
      </c>
      <c r="E55" s="14" t="n">
        <v>1200</v>
      </c>
      <c r="F55" s="15" t="n">
        <f aca="false">INDEX($E$3:$E$11,MATCH(A55,$A$3:$A$11,0))</f>
        <v>1</v>
      </c>
      <c r="G55" s="16" t="n">
        <f aca="false">IF(H55="",E55,H55)*F55</f>
        <v>1200</v>
      </c>
      <c r="M55" s="17" t="n">
        <f aca="false">G55-ROW()/1000000</f>
        <v>1199.999945</v>
      </c>
    </row>
    <row r="56" customFormat="false" ht="15" hidden="false" customHeight="false" outlineLevel="0" collapsed="false">
      <c r="A56" s="20" t="s">
        <v>5</v>
      </c>
      <c r="B56" s="21" t="s">
        <v>116</v>
      </c>
      <c r="C56" s="21" t="s">
        <v>117</v>
      </c>
      <c r="D56" s="21" t="s">
        <v>118</v>
      </c>
      <c r="E56" s="14" t="n">
        <v>120000</v>
      </c>
      <c r="F56" s="15" t="n">
        <f aca="false">INDEX($E$3:$E$11,MATCH(A56,$A$3:$A$11,0))</f>
        <v>1</v>
      </c>
      <c r="G56" s="16" t="n">
        <f aca="false">IF(H56="",E56,H56)*F56</f>
        <v>120000</v>
      </c>
      <c r="M56" s="17" t="n">
        <f aca="false">G56-ROW()/1000000</f>
        <v>119999.999944</v>
      </c>
    </row>
    <row r="57" customFormat="false" ht="26.85" hidden="false" customHeight="false" outlineLevel="0" collapsed="false">
      <c r="A57" s="20" t="s">
        <v>5</v>
      </c>
      <c r="B57" s="21" t="s">
        <v>119</v>
      </c>
      <c r="C57" s="21" t="s">
        <v>120</v>
      </c>
      <c r="D57" s="21" t="s">
        <v>121</v>
      </c>
      <c r="E57" s="14" t="n">
        <v>100000</v>
      </c>
      <c r="F57" s="15" t="n">
        <f aca="false">INDEX($E$3:$E$11,MATCH(A57,$A$3:$A$11,0))</f>
        <v>1</v>
      </c>
      <c r="G57" s="16" t="n">
        <f aca="false">IF(H57="",E57,H57)*F57</f>
        <v>100000</v>
      </c>
      <c r="M57" s="17" t="n">
        <f aca="false">G57-ROW()/1000000</f>
        <v>99999.999943</v>
      </c>
    </row>
    <row r="58" customFormat="false" ht="15" hidden="false" customHeight="false" outlineLevel="0" collapsed="false">
      <c r="A58" s="20" t="s">
        <v>5</v>
      </c>
      <c r="B58" s="21" t="s">
        <v>122</v>
      </c>
      <c r="C58" s="21" t="s">
        <v>123</v>
      </c>
      <c r="D58" s="21" t="s">
        <v>124</v>
      </c>
      <c r="E58" s="14" t="n">
        <v>40000</v>
      </c>
      <c r="F58" s="15" t="n">
        <f aca="false">INDEX($E$3:$E$11,MATCH(A58,$A$3:$A$11,0))</f>
        <v>1</v>
      </c>
      <c r="G58" s="16" t="n">
        <f aca="false">IF(H58="",E58,H58)*F58</f>
        <v>40000</v>
      </c>
      <c r="M58" s="17" t="n">
        <f aca="false">G58-ROW()/1000000</f>
        <v>39999.999942</v>
      </c>
    </row>
    <row r="59" customFormat="false" ht="15" hidden="false" customHeight="false" outlineLevel="0" collapsed="false">
      <c r="A59" s="20" t="s">
        <v>5</v>
      </c>
      <c r="B59" s="21" t="s">
        <v>125</v>
      </c>
      <c r="C59" s="21" t="s">
        <v>126</v>
      </c>
      <c r="D59" s="21" t="s">
        <v>127</v>
      </c>
      <c r="E59" s="14" t="n">
        <v>15000</v>
      </c>
      <c r="F59" s="15" t="n">
        <f aca="false">INDEX($E$3:$E$11,MATCH(A59,$A$3:$A$11,0))</f>
        <v>1</v>
      </c>
      <c r="G59" s="16" t="n">
        <f aca="false">IF(H59="",E59,H59)*F59</f>
        <v>15000</v>
      </c>
      <c r="M59" s="17" t="n">
        <f aca="false">G59-ROW()/1000000</f>
        <v>14999.999941</v>
      </c>
    </row>
    <row r="60" customFormat="false" ht="15" hidden="false" customHeight="false" outlineLevel="0" collapsed="false">
      <c r="A60" s="20" t="s">
        <v>5</v>
      </c>
      <c r="B60" s="21" t="s">
        <v>128</v>
      </c>
      <c r="C60" s="21" t="s">
        <v>129</v>
      </c>
      <c r="D60" s="21" t="s">
        <v>130</v>
      </c>
      <c r="E60" s="14" t="n">
        <v>15000</v>
      </c>
      <c r="F60" s="15" t="n">
        <f aca="false">INDEX($E$3:$E$11,MATCH(A60,$A$3:$A$11,0))</f>
        <v>1</v>
      </c>
      <c r="G60" s="16" t="n">
        <f aca="false">IF(H60="",E60,H60)*F60</f>
        <v>15000</v>
      </c>
      <c r="M60" s="17" t="n">
        <f aca="false">G60-ROW()/1000000</f>
        <v>14999.99994</v>
      </c>
    </row>
    <row r="61" customFormat="false" ht="15" hidden="false" customHeight="false" outlineLevel="0" collapsed="false">
      <c r="A61" s="20" t="s">
        <v>5</v>
      </c>
      <c r="B61" s="21" t="s">
        <v>131</v>
      </c>
      <c r="C61" s="21" t="s">
        <v>132</v>
      </c>
      <c r="D61" s="21" t="s">
        <v>133</v>
      </c>
      <c r="E61" s="14" t="n">
        <v>25000</v>
      </c>
      <c r="F61" s="15" t="n">
        <f aca="false">INDEX($E$3:$E$11,MATCH(A61,$A$3:$A$11,0))</f>
        <v>1</v>
      </c>
      <c r="G61" s="16" t="n">
        <f aca="false">IF(H61="",E61,H61)*F61</f>
        <v>25000</v>
      </c>
      <c r="M61" s="17" t="n">
        <f aca="false">G61-ROW()/1000000</f>
        <v>24999.999939</v>
      </c>
    </row>
    <row r="62" customFormat="false" ht="26.85" hidden="false" customHeight="false" outlineLevel="0" collapsed="false">
      <c r="A62" s="20" t="s">
        <v>5</v>
      </c>
      <c r="B62" s="21" t="s">
        <v>134</v>
      </c>
      <c r="C62" s="21" t="s">
        <v>135</v>
      </c>
      <c r="D62" s="21" t="s">
        <v>136</v>
      </c>
      <c r="E62" s="14" t="n">
        <v>20000</v>
      </c>
      <c r="F62" s="15" t="n">
        <f aca="false">INDEX($E$3:$E$11,MATCH(A62,$A$3:$A$11,0))</f>
        <v>1</v>
      </c>
      <c r="G62" s="16" t="n">
        <f aca="false">IF(H62="",E62,H62)*F62</f>
        <v>20000</v>
      </c>
      <c r="M62" s="17" t="n">
        <f aca="false">G62-ROW()/1000000</f>
        <v>19999.999938</v>
      </c>
    </row>
    <row r="63" customFormat="false" ht="15" hidden="false" customHeight="false" outlineLevel="0" collapsed="false">
      <c r="A63" s="20" t="s">
        <v>5</v>
      </c>
      <c r="B63" s="21" t="s">
        <v>137</v>
      </c>
      <c r="C63" s="21" t="s">
        <v>138</v>
      </c>
      <c r="D63" s="21" t="s">
        <v>139</v>
      </c>
      <c r="E63" s="14" t="n">
        <v>5000</v>
      </c>
      <c r="F63" s="15" t="n">
        <f aca="false">INDEX($E$3:$E$11,MATCH(A63,$A$3:$A$11,0))</f>
        <v>1</v>
      </c>
      <c r="G63" s="16" t="n">
        <f aca="false">IF(H63="",E63,H63)*F63</f>
        <v>5000</v>
      </c>
      <c r="M63" s="17" t="n">
        <f aca="false">G63-ROW()/1000000</f>
        <v>4999.999937</v>
      </c>
    </row>
    <row r="64" customFormat="false" ht="15" hidden="false" customHeight="false" outlineLevel="0" collapsed="false">
      <c r="A64" s="20" t="s">
        <v>5</v>
      </c>
      <c r="B64" s="21" t="s">
        <v>140</v>
      </c>
      <c r="C64" s="21" t="s">
        <v>141</v>
      </c>
      <c r="D64" s="21" t="s">
        <v>130</v>
      </c>
      <c r="E64" s="14" t="n">
        <v>10000</v>
      </c>
      <c r="F64" s="15" t="n">
        <f aca="false">INDEX($E$3:$E$11,MATCH(A64,$A$3:$A$11,0))</f>
        <v>1</v>
      </c>
      <c r="G64" s="16" t="n">
        <f aca="false">IF(H64="",E64,H64)*F64</f>
        <v>10000</v>
      </c>
      <c r="M64" s="17" t="n">
        <f aca="false">G64-ROW()/1000000</f>
        <v>9999.999936</v>
      </c>
    </row>
    <row r="65" customFormat="false" ht="64.9" hidden="false" customHeight="false" outlineLevel="0" collapsed="false">
      <c r="A65" s="20" t="s">
        <v>5</v>
      </c>
      <c r="B65" s="21" t="s">
        <v>142</v>
      </c>
      <c r="C65" s="21" t="s">
        <v>143</v>
      </c>
      <c r="D65" s="21" t="s">
        <v>133</v>
      </c>
      <c r="E65" s="14" t="n">
        <v>10000</v>
      </c>
      <c r="F65" s="15" t="n">
        <f aca="false">INDEX($E$3:$E$11,MATCH(A65,$A$3:$A$11,0))</f>
        <v>1</v>
      </c>
      <c r="G65" s="16" t="n">
        <f aca="false">IF(H65="",E65,H65)*F65</f>
        <v>10000</v>
      </c>
      <c r="M65" s="17" t="n">
        <f aca="false">G65-ROW()/1000000</f>
        <v>9999.999935</v>
      </c>
    </row>
    <row r="66" customFormat="false" ht="26.85" hidden="false" customHeight="false" outlineLevel="0" collapsed="false">
      <c r="A66" s="20" t="s">
        <v>5</v>
      </c>
      <c r="B66" s="21" t="s">
        <v>144</v>
      </c>
      <c r="C66" s="21" t="s">
        <v>145</v>
      </c>
      <c r="D66" s="21" t="s">
        <v>136</v>
      </c>
      <c r="E66" s="14" t="n">
        <v>30000</v>
      </c>
      <c r="F66" s="15" t="n">
        <f aca="false">INDEX($E$3:$E$11,MATCH(A66,$A$3:$A$11,0))</f>
        <v>1</v>
      </c>
      <c r="G66" s="16" t="n">
        <f aca="false">IF(H66="",E66,H66)*F66</f>
        <v>30000</v>
      </c>
      <c r="M66" s="17" t="n">
        <f aca="false">G66-ROW()/1000000</f>
        <v>29999.999934</v>
      </c>
    </row>
    <row r="67" customFormat="false" ht="90.25" hidden="false" customHeight="false" outlineLevel="0" collapsed="false">
      <c r="A67" s="20" t="s">
        <v>5</v>
      </c>
      <c r="B67" s="21" t="s">
        <v>146</v>
      </c>
      <c r="C67" s="21" t="s">
        <v>147</v>
      </c>
      <c r="D67" s="21" t="s">
        <v>96</v>
      </c>
      <c r="E67" s="14" t="n">
        <v>9000</v>
      </c>
      <c r="F67" s="15" t="n">
        <f aca="false">INDEX($E$3:$E$11,MATCH(A67,$A$3:$A$11,0))</f>
        <v>1</v>
      </c>
      <c r="G67" s="16" t="n">
        <f aca="false">IF(H67="",E67,H67)*F67</f>
        <v>9000</v>
      </c>
      <c r="M67" s="17" t="n">
        <f aca="false">G67-ROW()/1000000</f>
        <v>8999.999933</v>
      </c>
    </row>
    <row r="68" customFormat="false" ht="26.85" hidden="false" customHeight="false" outlineLevel="0" collapsed="false">
      <c r="A68" s="20" t="s">
        <v>5</v>
      </c>
      <c r="B68" s="21" t="s">
        <v>148</v>
      </c>
      <c r="C68" s="21" t="s">
        <v>149</v>
      </c>
      <c r="D68" s="21" t="s">
        <v>150</v>
      </c>
      <c r="E68" s="14" t="n">
        <v>8000</v>
      </c>
      <c r="F68" s="15" t="n">
        <f aca="false">INDEX($E$3:$E$11,MATCH(A68,$A$3:$A$11,0))</f>
        <v>1</v>
      </c>
      <c r="G68" s="16" t="n">
        <f aca="false">IF(H68="",E68,H68)*F68</f>
        <v>8000</v>
      </c>
      <c r="M68" s="17" t="n">
        <f aca="false">G68-ROW()/1000000</f>
        <v>7999.999932</v>
      </c>
    </row>
    <row r="69" customFormat="false" ht="52.2" hidden="false" customHeight="false" outlineLevel="0" collapsed="false">
      <c r="A69" s="20" t="s">
        <v>5</v>
      </c>
      <c r="B69" s="21" t="s">
        <v>151</v>
      </c>
      <c r="C69" s="21" t="s">
        <v>152</v>
      </c>
      <c r="D69" s="21" t="s">
        <v>150</v>
      </c>
      <c r="E69" s="14" t="n">
        <v>12000</v>
      </c>
      <c r="F69" s="15" t="n">
        <f aca="false">INDEX($E$3:$E$11,MATCH(A69,$A$3:$A$11,0))</f>
        <v>1</v>
      </c>
      <c r="G69" s="16" t="n">
        <f aca="false">IF(H69="",E69,H69)*F69</f>
        <v>12000</v>
      </c>
      <c r="M69" s="17" t="n">
        <f aca="false">G69-ROW()/1000000</f>
        <v>11999.999931</v>
      </c>
    </row>
    <row r="70" customFormat="false" ht="15" hidden="false" customHeight="false" outlineLevel="0" collapsed="false">
      <c r="A70" s="20" t="s">
        <v>5</v>
      </c>
      <c r="B70" s="21" t="s">
        <v>153</v>
      </c>
      <c r="C70" s="21" t="s">
        <v>154</v>
      </c>
      <c r="D70" s="21" t="s">
        <v>155</v>
      </c>
      <c r="E70" s="14" t="n">
        <v>15000</v>
      </c>
      <c r="F70" s="15" t="n">
        <f aca="false">INDEX($E$3:$E$11,MATCH(A70,$A$3:$A$11,0))</f>
        <v>1</v>
      </c>
      <c r="G70" s="16" t="n">
        <f aca="false">IF(H70="",E70,H70)*F70</f>
        <v>15000</v>
      </c>
      <c r="M70" s="17" t="n">
        <f aca="false">G70-ROW()/1000000</f>
        <v>14999.99993</v>
      </c>
    </row>
    <row r="71" customFormat="false" ht="26.85" hidden="false" customHeight="false" outlineLevel="0" collapsed="false">
      <c r="A71" s="20" t="s">
        <v>5</v>
      </c>
      <c r="B71" s="21" t="s">
        <v>156</v>
      </c>
      <c r="C71" s="21" t="s">
        <v>157</v>
      </c>
      <c r="D71" s="21" t="s">
        <v>133</v>
      </c>
      <c r="E71" s="14" t="n">
        <v>10000</v>
      </c>
      <c r="F71" s="15" t="n">
        <f aca="false">INDEX($E$3:$E$11,MATCH(A71,$A$3:$A$11,0))</f>
        <v>1</v>
      </c>
      <c r="G71" s="16" t="n">
        <f aca="false">IF(H71="",E71,H71)*F71</f>
        <v>10000</v>
      </c>
      <c r="M71" s="17" t="n">
        <f aca="false">G71-ROW()/1000000</f>
        <v>9999.999929</v>
      </c>
    </row>
    <row r="72" customFormat="false" ht="15" hidden="false" customHeight="false" outlineLevel="0" collapsed="false">
      <c r="A72" s="20" t="s">
        <v>5</v>
      </c>
      <c r="B72" s="21" t="s">
        <v>158</v>
      </c>
      <c r="C72" s="21" t="s">
        <v>159</v>
      </c>
      <c r="D72" s="21" t="s">
        <v>81</v>
      </c>
      <c r="E72" s="14" t="n">
        <v>3000</v>
      </c>
      <c r="F72" s="15" t="n">
        <f aca="false">INDEX($E$3:$E$11,MATCH(A72,$A$3:$A$11,0))</f>
        <v>1</v>
      </c>
      <c r="G72" s="16" t="n">
        <f aca="false">IF(H72="",E72,H72)*F72</f>
        <v>3000</v>
      </c>
      <c r="M72" s="17" t="n">
        <f aca="false">G72-ROW()/1000000</f>
        <v>2999.999928</v>
      </c>
    </row>
    <row r="73" customFormat="false" ht="15" hidden="false" customHeight="false" outlineLevel="0" collapsed="false">
      <c r="A73" s="20" t="s">
        <v>5</v>
      </c>
      <c r="B73" s="21" t="s">
        <v>160</v>
      </c>
      <c r="C73" s="21" t="s">
        <v>160</v>
      </c>
      <c r="D73" s="21" t="s">
        <v>161</v>
      </c>
      <c r="E73" s="14" t="n">
        <v>4000</v>
      </c>
      <c r="F73" s="15" t="n">
        <f aca="false">INDEX($E$3:$E$11,MATCH(A73,$A$3:$A$11,0))</f>
        <v>1</v>
      </c>
      <c r="G73" s="16" t="n">
        <f aca="false">IF(H73="",E73,H73)*F73</f>
        <v>4000</v>
      </c>
      <c r="M73" s="17" t="n">
        <f aca="false">G73-ROW()/1000000</f>
        <v>3999.999927</v>
      </c>
    </row>
    <row r="74" customFormat="false" ht="64.9" hidden="false" customHeight="false" outlineLevel="0" collapsed="false">
      <c r="A74" s="20" t="s">
        <v>5</v>
      </c>
      <c r="B74" s="21" t="s">
        <v>162</v>
      </c>
      <c r="C74" s="21" t="s">
        <v>163</v>
      </c>
      <c r="D74" s="21" t="s">
        <v>164</v>
      </c>
      <c r="E74" s="14" t="n">
        <v>2500</v>
      </c>
      <c r="F74" s="15" t="n">
        <f aca="false">INDEX($E$3:$E$11,MATCH(A74,$A$3:$A$11,0))</f>
        <v>1</v>
      </c>
      <c r="G74" s="16" t="n">
        <f aca="false">IF(H74="",E74,H74)*F74</f>
        <v>2500</v>
      </c>
      <c r="M74" s="17" t="n">
        <f aca="false">G74-ROW()/1000000</f>
        <v>2499.999926</v>
      </c>
    </row>
    <row r="75" customFormat="false" ht="15" hidden="false" customHeight="false" outlineLevel="0" collapsed="false">
      <c r="A75" s="20" t="s">
        <v>5</v>
      </c>
      <c r="B75" s="21" t="s">
        <v>165</v>
      </c>
      <c r="C75" s="21" t="s">
        <v>166</v>
      </c>
      <c r="D75" s="21" t="s">
        <v>150</v>
      </c>
      <c r="E75" s="14" t="n">
        <v>1000</v>
      </c>
      <c r="F75" s="15" t="n">
        <f aca="false">INDEX($E$3:$E$11,MATCH(A75,$A$3:$A$11,0))</f>
        <v>1</v>
      </c>
      <c r="G75" s="16" t="n">
        <f aca="false">IF(H75="",E75,H75)*F75</f>
        <v>1000</v>
      </c>
      <c r="M75" s="17" t="n">
        <f aca="false">G75-ROW()/1000000</f>
        <v>999.999925</v>
      </c>
    </row>
    <row r="76" customFormat="false" ht="52.2" hidden="false" customHeight="false" outlineLevel="0" collapsed="false">
      <c r="A76" s="22" t="s">
        <v>6</v>
      </c>
      <c r="B76" s="23" t="s">
        <v>167</v>
      </c>
      <c r="C76" s="23" t="s">
        <v>168</v>
      </c>
      <c r="D76" s="23" t="s">
        <v>169</v>
      </c>
      <c r="E76" s="14" t="n">
        <v>20000</v>
      </c>
      <c r="F76" s="15" t="n">
        <f aca="false">INDEX($E$3:$E$11,MATCH(A76,$A$3:$A$11,0))</f>
        <v>1</v>
      </c>
      <c r="G76" s="16" t="n">
        <f aca="false">IF(H76="",E76,H76)*F76</f>
        <v>20000</v>
      </c>
      <c r="M76" s="17" t="n">
        <f aca="false">G76-ROW()/1000000</f>
        <v>19999.999924</v>
      </c>
    </row>
    <row r="77" customFormat="false" ht="52.2" hidden="false" customHeight="false" outlineLevel="0" collapsed="false">
      <c r="A77" s="22" t="s">
        <v>6</v>
      </c>
      <c r="B77" s="23" t="s">
        <v>170</v>
      </c>
      <c r="C77" s="23" t="s">
        <v>171</v>
      </c>
      <c r="D77" s="23" t="s">
        <v>113</v>
      </c>
      <c r="E77" s="14" t="n">
        <v>15000</v>
      </c>
      <c r="F77" s="15" t="n">
        <f aca="false">INDEX($E$3:$E$11,MATCH(A77,$A$3:$A$11,0))</f>
        <v>1</v>
      </c>
      <c r="G77" s="16" t="n">
        <f aca="false">IF(H77="",E77,H77)*F77</f>
        <v>15000</v>
      </c>
      <c r="M77" s="17" t="n">
        <f aca="false">G77-ROW()/1000000</f>
        <v>14999.999923</v>
      </c>
    </row>
    <row r="78" customFormat="false" ht="39.55" hidden="false" customHeight="false" outlineLevel="0" collapsed="false">
      <c r="A78" s="22" t="s">
        <v>6</v>
      </c>
      <c r="B78" s="23" t="s">
        <v>172</v>
      </c>
      <c r="C78" s="23" t="s">
        <v>173</v>
      </c>
      <c r="D78" s="23" t="s">
        <v>174</v>
      </c>
      <c r="E78" s="14" t="n">
        <v>15000</v>
      </c>
      <c r="F78" s="15" t="n">
        <f aca="false">INDEX($E$3:$E$11,MATCH(A78,$A$3:$A$11,0))</f>
        <v>1</v>
      </c>
      <c r="G78" s="16" t="n">
        <f aca="false">IF(H78="",E78,H78)*F78</f>
        <v>15000</v>
      </c>
      <c r="M78" s="17" t="n">
        <f aca="false">G78-ROW()/1000000</f>
        <v>14999.999922</v>
      </c>
    </row>
    <row r="79" customFormat="false" ht="102.95" hidden="false" customHeight="false" outlineLevel="0" collapsed="false">
      <c r="A79" s="22" t="s">
        <v>6</v>
      </c>
      <c r="B79" s="23" t="s">
        <v>175</v>
      </c>
      <c r="C79" s="23" t="s">
        <v>176</v>
      </c>
      <c r="D79" s="23" t="s">
        <v>177</v>
      </c>
      <c r="E79" s="14" t="n">
        <v>27000</v>
      </c>
      <c r="F79" s="15" t="n">
        <f aca="false">INDEX($E$3:$E$11,MATCH(A79,$A$3:$A$11,0))</f>
        <v>1</v>
      </c>
      <c r="G79" s="16" t="n">
        <f aca="false">IF(H79="",E79,H79)*F79</f>
        <v>27000</v>
      </c>
      <c r="M79" s="17" t="n">
        <f aca="false">G79-ROW()/1000000</f>
        <v>26999.999921</v>
      </c>
    </row>
    <row r="80" customFormat="false" ht="15" hidden="false" customHeight="false" outlineLevel="0" collapsed="false">
      <c r="A80" s="22" t="s">
        <v>6</v>
      </c>
      <c r="B80" s="23" t="s">
        <v>178</v>
      </c>
      <c r="C80" s="23" t="s">
        <v>179</v>
      </c>
      <c r="D80" s="23" t="s">
        <v>180</v>
      </c>
      <c r="E80" s="14" t="n">
        <v>18000</v>
      </c>
      <c r="F80" s="15" t="n">
        <f aca="false">INDEX($E$3:$E$11,MATCH(A80,$A$3:$A$11,0))</f>
        <v>1</v>
      </c>
      <c r="G80" s="16" t="n">
        <f aca="false">IF(H80="",E80,H80)*F80</f>
        <v>18000</v>
      </c>
      <c r="M80" s="17" t="n">
        <f aca="false">G80-ROW()/1000000</f>
        <v>17999.99992</v>
      </c>
    </row>
    <row r="81" customFormat="false" ht="26.85" hidden="false" customHeight="false" outlineLevel="0" collapsed="false">
      <c r="A81" s="22" t="s">
        <v>6</v>
      </c>
      <c r="B81" s="23" t="s">
        <v>181</v>
      </c>
      <c r="C81" s="23" t="s">
        <v>182</v>
      </c>
      <c r="D81" s="23" t="s">
        <v>183</v>
      </c>
      <c r="E81" s="14" t="n">
        <v>8000</v>
      </c>
      <c r="F81" s="15" t="n">
        <f aca="false">INDEX($E$3:$E$11,MATCH(A81,$A$3:$A$11,0))</f>
        <v>1</v>
      </c>
      <c r="G81" s="16" t="n">
        <f aca="false">IF(H81="",E81,H81)*F81</f>
        <v>8000</v>
      </c>
      <c r="M81" s="17" t="n">
        <f aca="false">G81-ROW()/1000000</f>
        <v>7999.999919</v>
      </c>
    </row>
    <row r="82" customFormat="false" ht="15" hidden="false" customHeight="false" outlineLevel="0" collapsed="false">
      <c r="A82" s="22" t="s">
        <v>6</v>
      </c>
      <c r="B82" s="23" t="s">
        <v>184</v>
      </c>
      <c r="C82" s="23" t="s">
        <v>185</v>
      </c>
      <c r="D82" s="23" t="s">
        <v>186</v>
      </c>
      <c r="E82" s="14" t="n">
        <v>15000</v>
      </c>
      <c r="F82" s="15" t="n">
        <f aca="false">INDEX($E$3:$E$11,MATCH(A82,$A$3:$A$11,0))</f>
        <v>1</v>
      </c>
      <c r="G82" s="16" t="n">
        <f aca="false">IF(H82="",E82,H82)*F82</f>
        <v>15000</v>
      </c>
      <c r="M82" s="17" t="n">
        <f aca="false">G82-ROW()/1000000</f>
        <v>14999.999918</v>
      </c>
    </row>
    <row r="83" customFormat="false" ht="26.85" hidden="false" customHeight="false" outlineLevel="0" collapsed="false">
      <c r="A83" s="22" t="s">
        <v>6</v>
      </c>
      <c r="B83" s="23" t="s">
        <v>187</v>
      </c>
      <c r="C83" s="23" t="s">
        <v>188</v>
      </c>
      <c r="D83" s="23" t="s">
        <v>189</v>
      </c>
      <c r="E83" s="14" t="n">
        <v>30000</v>
      </c>
      <c r="F83" s="15" t="n">
        <f aca="false">INDEX($E$3:$E$11,MATCH(A83,$A$3:$A$11,0))</f>
        <v>1</v>
      </c>
      <c r="G83" s="16" t="n">
        <f aca="false">IF(H83="",E83,H83)*F83</f>
        <v>30000</v>
      </c>
      <c r="M83" s="17" t="n">
        <f aca="false">G83-ROW()/1000000</f>
        <v>29999.999917</v>
      </c>
    </row>
    <row r="84" customFormat="false" ht="26.85" hidden="false" customHeight="false" outlineLevel="0" collapsed="false">
      <c r="A84" s="22" t="s">
        <v>6</v>
      </c>
      <c r="B84" s="23" t="s">
        <v>190</v>
      </c>
      <c r="C84" s="23" t="s">
        <v>191</v>
      </c>
      <c r="D84" s="23" t="s">
        <v>169</v>
      </c>
      <c r="E84" s="14" t="n">
        <v>16000</v>
      </c>
      <c r="F84" s="15" t="n">
        <f aca="false">INDEX($E$3:$E$11,MATCH(A84,$A$3:$A$11,0))</f>
        <v>1</v>
      </c>
      <c r="G84" s="16" t="n">
        <f aca="false">IF(H84="",E84,H84)*F84</f>
        <v>16000</v>
      </c>
      <c r="M84" s="17" t="n">
        <f aca="false">G84-ROW()/1000000</f>
        <v>15999.999916</v>
      </c>
    </row>
    <row r="85" customFormat="false" ht="26.85" hidden="false" customHeight="false" outlineLevel="0" collapsed="false">
      <c r="A85" s="22" t="s">
        <v>6</v>
      </c>
      <c r="B85" s="23" t="s">
        <v>192</v>
      </c>
      <c r="C85" s="23" t="s">
        <v>193</v>
      </c>
      <c r="D85" s="23" t="s">
        <v>174</v>
      </c>
      <c r="E85" s="14" t="n">
        <v>9000</v>
      </c>
      <c r="F85" s="15" t="n">
        <f aca="false">INDEX($E$3:$E$11,MATCH(A85,$A$3:$A$11,0))</f>
        <v>1</v>
      </c>
      <c r="G85" s="16" t="n">
        <f aca="false">IF(H85="",E85,H85)*F85</f>
        <v>9000</v>
      </c>
      <c r="M85" s="17" t="n">
        <f aca="false">G85-ROW()/1000000</f>
        <v>8999.999915</v>
      </c>
    </row>
    <row r="86" customFormat="false" ht="26.85" hidden="false" customHeight="false" outlineLevel="0" collapsed="false">
      <c r="A86" s="22" t="s">
        <v>6</v>
      </c>
      <c r="B86" s="23" t="s">
        <v>194</v>
      </c>
      <c r="C86" s="23" t="s">
        <v>195</v>
      </c>
      <c r="D86" s="23" t="s">
        <v>196</v>
      </c>
      <c r="E86" s="14" t="n">
        <v>5000</v>
      </c>
      <c r="F86" s="15" t="n">
        <f aca="false">INDEX($E$3:$E$11,MATCH(A86,$A$3:$A$11,0))</f>
        <v>1</v>
      </c>
      <c r="G86" s="16" t="n">
        <f aca="false">IF(H86="",E86,H86)*F86</f>
        <v>5000</v>
      </c>
      <c r="M86" s="17" t="n">
        <f aca="false">G86-ROW()/1000000</f>
        <v>4999.999914</v>
      </c>
    </row>
    <row r="87" customFormat="false" ht="26.85" hidden="false" customHeight="false" outlineLevel="0" collapsed="false">
      <c r="A87" s="22" t="s">
        <v>6</v>
      </c>
      <c r="B87" s="23" t="s">
        <v>197</v>
      </c>
      <c r="C87" s="23" t="s">
        <v>198</v>
      </c>
      <c r="D87" s="23" t="s">
        <v>199</v>
      </c>
      <c r="E87" s="14" t="n">
        <v>8000</v>
      </c>
      <c r="F87" s="15" t="n">
        <f aca="false">INDEX($E$3:$E$11,MATCH(A87,$A$3:$A$11,0))</f>
        <v>1</v>
      </c>
      <c r="G87" s="16" t="n">
        <f aca="false">IF(H87="",E87,H87)*F87</f>
        <v>8000</v>
      </c>
      <c r="M87" s="17" t="n">
        <f aca="false">G87-ROW()/1000000</f>
        <v>7999.999913</v>
      </c>
    </row>
    <row r="88" customFormat="false" ht="26.85" hidden="false" customHeight="false" outlineLevel="0" collapsed="false">
      <c r="A88" s="22" t="s">
        <v>6</v>
      </c>
      <c r="B88" s="23" t="s">
        <v>200</v>
      </c>
      <c r="C88" s="23" t="s">
        <v>201</v>
      </c>
      <c r="D88" s="23" t="s">
        <v>202</v>
      </c>
      <c r="E88" s="14" t="n">
        <v>7000</v>
      </c>
      <c r="F88" s="15" t="n">
        <f aca="false">INDEX($E$3:$E$11,MATCH(A88,$A$3:$A$11,0))</f>
        <v>1</v>
      </c>
      <c r="G88" s="16" t="n">
        <f aca="false">IF(H88="",E88,H88)*F88</f>
        <v>7000</v>
      </c>
      <c r="M88" s="17" t="n">
        <f aca="false">G88-ROW()/1000000</f>
        <v>6999.999912</v>
      </c>
    </row>
    <row r="89" customFormat="false" ht="26.85" hidden="false" customHeight="false" outlineLevel="0" collapsed="false">
      <c r="A89" s="22" t="s">
        <v>6</v>
      </c>
      <c r="B89" s="23" t="s">
        <v>203</v>
      </c>
      <c r="C89" s="23" t="s">
        <v>204</v>
      </c>
      <c r="D89" s="23" t="s">
        <v>205</v>
      </c>
      <c r="E89" s="14" t="n">
        <v>8000</v>
      </c>
      <c r="F89" s="15" t="n">
        <f aca="false">INDEX($E$3:$E$11,MATCH(A89,$A$3:$A$11,0))</f>
        <v>1</v>
      </c>
      <c r="G89" s="16" t="n">
        <f aca="false">IF(H89="",E89,H89)*F89</f>
        <v>8000</v>
      </c>
      <c r="M89" s="17" t="n">
        <f aca="false">G89-ROW()/1000000</f>
        <v>7999.999911</v>
      </c>
    </row>
    <row r="90" customFormat="false" ht="15" hidden="false" customHeight="false" outlineLevel="0" collapsed="false">
      <c r="A90" s="22" t="s">
        <v>6</v>
      </c>
      <c r="B90" s="23" t="s">
        <v>206</v>
      </c>
      <c r="C90" s="23" t="s">
        <v>207</v>
      </c>
      <c r="D90" s="23" t="s">
        <v>169</v>
      </c>
      <c r="E90" s="14" t="n">
        <v>8000</v>
      </c>
      <c r="F90" s="15" t="n">
        <f aca="false">INDEX($E$3:$E$11,MATCH(A90,$A$3:$A$11,0))</f>
        <v>1</v>
      </c>
      <c r="G90" s="16" t="n">
        <f aca="false">IF(H90="",E90,H90)*F90</f>
        <v>8000</v>
      </c>
      <c r="M90" s="17" t="n">
        <f aca="false">G90-ROW()/1000000</f>
        <v>7999.99991</v>
      </c>
    </row>
    <row r="91" customFormat="false" ht="15" hidden="false" customHeight="false" outlineLevel="0" collapsed="false">
      <c r="A91" s="22" t="s">
        <v>6</v>
      </c>
      <c r="B91" s="23" t="s">
        <v>208</v>
      </c>
      <c r="C91" s="23" t="s">
        <v>209</v>
      </c>
      <c r="D91" s="23" t="s">
        <v>210</v>
      </c>
      <c r="E91" s="14" t="n">
        <v>6000</v>
      </c>
      <c r="F91" s="15" t="n">
        <f aca="false">INDEX($E$3:$E$11,MATCH(A91,$A$3:$A$11,0))</f>
        <v>1</v>
      </c>
      <c r="G91" s="16" t="n">
        <f aca="false">IF(H91="",E91,H91)*F91</f>
        <v>6000</v>
      </c>
      <c r="M91" s="17" t="n">
        <f aca="false">G91-ROW()/1000000</f>
        <v>5999.999909</v>
      </c>
    </row>
    <row r="92" customFormat="false" ht="26.85" hidden="false" customHeight="false" outlineLevel="0" collapsed="false">
      <c r="A92" s="22" t="s">
        <v>6</v>
      </c>
      <c r="B92" s="23" t="s">
        <v>211</v>
      </c>
      <c r="C92" s="23" t="s">
        <v>212</v>
      </c>
      <c r="D92" s="23" t="s">
        <v>213</v>
      </c>
      <c r="E92" s="14" t="n">
        <v>8000</v>
      </c>
      <c r="F92" s="15" t="n">
        <f aca="false">INDEX($E$3:$E$11,MATCH(A92,$A$3:$A$11,0))</f>
        <v>1</v>
      </c>
      <c r="G92" s="16" t="n">
        <f aca="false">IF(H92="",E92,H92)*F92</f>
        <v>8000</v>
      </c>
      <c r="M92" s="17" t="n">
        <f aca="false">G92-ROW()/1000000</f>
        <v>7999.999908</v>
      </c>
    </row>
    <row r="93" customFormat="false" ht="102.95" hidden="false" customHeight="false" outlineLevel="0" collapsed="false">
      <c r="A93" s="22" t="s">
        <v>6</v>
      </c>
      <c r="B93" s="23" t="s">
        <v>214</v>
      </c>
      <c r="C93" s="23" t="s">
        <v>215</v>
      </c>
      <c r="D93" s="23" t="s">
        <v>216</v>
      </c>
      <c r="E93" s="14" t="n">
        <v>5000</v>
      </c>
      <c r="F93" s="15" t="n">
        <f aca="false">INDEX($E$3:$E$11,MATCH(A93,$A$3:$A$11,0))</f>
        <v>1</v>
      </c>
      <c r="G93" s="16" t="n">
        <f aca="false">IF(H93="",E93,H93)*F93</f>
        <v>5000</v>
      </c>
      <c r="M93" s="17" t="n">
        <f aca="false">G93-ROW()/1000000</f>
        <v>4999.999907</v>
      </c>
    </row>
    <row r="94" customFormat="false" ht="15" hidden="false" customHeight="false" outlineLevel="0" collapsed="false">
      <c r="A94" s="22" t="s">
        <v>6</v>
      </c>
      <c r="B94" s="23" t="s">
        <v>217</v>
      </c>
      <c r="C94" s="23" t="s">
        <v>218</v>
      </c>
      <c r="D94" s="23" t="s">
        <v>90</v>
      </c>
      <c r="E94" s="14" t="n">
        <v>4000</v>
      </c>
      <c r="F94" s="15" t="n">
        <f aca="false">INDEX($E$3:$E$11,MATCH(A94,$A$3:$A$11,0))</f>
        <v>1</v>
      </c>
      <c r="G94" s="16" t="n">
        <f aca="false">IF(H94="",E94,H94)*F94</f>
        <v>4000</v>
      </c>
      <c r="M94" s="17" t="n">
        <f aca="false">G94-ROW()/1000000</f>
        <v>3999.999906</v>
      </c>
    </row>
    <row r="95" customFormat="false" ht="15" hidden="false" customHeight="false" outlineLevel="0" collapsed="false">
      <c r="A95" s="22" t="s">
        <v>6</v>
      </c>
      <c r="B95" s="23" t="s">
        <v>219</v>
      </c>
      <c r="C95" s="23" t="s">
        <v>220</v>
      </c>
      <c r="D95" s="23" t="s">
        <v>183</v>
      </c>
      <c r="E95" s="14" t="n">
        <v>-7000</v>
      </c>
      <c r="F95" s="15" t="n">
        <f aca="false">INDEX($E$3:$E$11,MATCH(A95,$A$3:$A$11,0))</f>
        <v>1</v>
      </c>
      <c r="G95" s="16" t="n">
        <f aca="false">IF(H95="",E95,H95)*F95</f>
        <v>-7000</v>
      </c>
      <c r="M95" s="17" t="n">
        <f aca="false">G95-ROW()/1000000</f>
        <v>-7000.000095</v>
      </c>
    </row>
    <row r="96" customFormat="false" ht="15" hidden="false" customHeight="false" outlineLevel="0" collapsed="false">
      <c r="A96" s="24" t="s">
        <v>7</v>
      </c>
      <c r="B96" s="25" t="s">
        <v>221</v>
      </c>
      <c r="C96" s="25" t="s">
        <v>222</v>
      </c>
      <c r="D96" s="25" t="s">
        <v>223</v>
      </c>
      <c r="E96" s="14" t="n">
        <v>1200</v>
      </c>
      <c r="F96" s="15" t="n">
        <f aca="false">INDEX($E$3:$E$11,MATCH(A96,$A$3:$A$11,0))</f>
        <v>1</v>
      </c>
      <c r="G96" s="16" t="n">
        <f aca="false">IF(H96="",E96,H96)*F96</f>
        <v>1200</v>
      </c>
      <c r="M96" s="17" t="n">
        <f aca="false">G96-ROW()/1000000</f>
        <v>1199.999904</v>
      </c>
    </row>
    <row r="97" customFormat="false" ht="26.85" hidden="false" customHeight="false" outlineLevel="0" collapsed="false">
      <c r="A97" s="24" t="s">
        <v>8</v>
      </c>
      <c r="B97" s="25" t="s">
        <v>224</v>
      </c>
      <c r="C97" s="25" t="s">
        <v>225</v>
      </c>
      <c r="D97" s="25" t="s">
        <v>226</v>
      </c>
      <c r="E97" s="14" t="n">
        <v>20000</v>
      </c>
      <c r="F97" s="15" t="n">
        <f aca="false">INDEX($E$3:$E$11,MATCH(A97,$A$3:$A$11,0))</f>
        <v>1</v>
      </c>
      <c r="G97" s="16" t="n">
        <f aca="false">IF(H97="",E97,H97)*F97</f>
        <v>20000</v>
      </c>
      <c r="M97" s="17" t="n">
        <f aca="false">G97-ROW()/1000000</f>
        <v>19999.999903</v>
      </c>
    </row>
    <row r="98" customFormat="false" ht="102.95" hidden="false" customHeight="false" outlineLevel="0" collapsed="false">
      <c r="A98" s="24" t="s">
        <v>9</v>
      </c>
      <c r="B98" s="25" t="s">
        <v>227</v>
      </c>
      <c r="C98" s="25" t="s">
        <v>228</v>
      </c>
      <c r="D98" s="25" t="s">
        <v>229</v>
      </c>
      <c r="E98" s="14" t="n">
        <v>50</v>
      </c>
      <c r="F98" s="15" t="n">
        <f aca="false">INDEX($E$3:$E$11,MATCH(A98,$A$3:$A$11,0))</f>
        <v>1</v>
      </c>
      <c r="G98" s="16" t="n">
        <f aca="false">IF(H98="",E98,H98)*F98</f>
        <v>50</v>
      </c>
      <c r="M98" s="17" t="n">
        <f aca="false">G98-ROW()/1000000</f>
        <v>49.999902</v>
      </c>
    </row>
    <row r="99" customFormat="false" ht="77.6" hidden="false" customHeight="false" outlineLevel="0" collapsed="false">
      <c r="A99" s="24" t="s">
        <v>10</v>
      </c>
      <c r="B99" s="25" t="s">
        <v>230</v>
      </c>
      <c r="C99" s="25" t="s">
        <v>231</v>
      </c>
      <c r="D99" s="25" t="s">
        <v>229</v>
      </c>
      <c r="E99" s="14" t="n">
        <v>100</v>
      </c>
      <c r="F99" s="15" t="n">
        <f aca="false">INDEX($E$3:$E$11,MATCH(A99,$A$3:$A$11,0))</f>
        <v>1</v>
      </c>
      <c r="G99" s="16" t="n">
        <f aca="false">IF(H99="",E99,H99)*F99</f>
        <v>100</v>
      </c>
      <c r="M99" s="17" t="n">
        <f aca="false">G99-ROW()/1000000</f>
        <v>99.999901</v>
      </c>
    </row>
    <row r="100" customFormat="false" ht="26.85" hidden="false" customHeight="false" outlineLevel="0" collapsed="false">
      <c r="A100" s="24" t="s">
        <v>11</v>
      </c>
      <c r="B100" s="25" t="s">
        <v>232</v>
      </c>
      <c r="C100" s="25" t="s">
        <v>233</v>
      </c>
      <c r="D100" s="25" t="s">
        <v>234</v>
      </c>
      <c r="E100" s="14" t="n">
        <v>3000</v>
      </c>
      <c r="F100" s="15" t="n">
        <f aca="false">INDEX($E$3:$E$11,MATCH(A100,$A$3:$A$11,0))</f>
        <v>1</v>
      </c>
      <c r="G100" s="16" t="n">
        <f aca="false">IF(H100="",E100,H100)*F100</f>
        <v>3000</v>
      </c>
      <c r="M100" s="17" t="n">
        <f aca="false">G100-ROW()/1000000</f>
        <v>2999.9999</v>
      </c>
    </row>
  </sheetData>
  <autoFilter ref="A15:M1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4"/>
    <col collapsed="false" customWidth="true" hidden="false" outlineLevel="0" max="3" min="3" style="1" width="70"/>
    <col collapsed="false" customWidth="true" hidden="false" outlineLevel="0" max="4" min="4" style="1" width="16"/>
    <col collapsed="false" customWidth="true" hidden="false" outlineLevel="0" max="5" min="5" style="1" width="11"/>
  </cols>
  <sheetData>
    <row r="1" customFormat="false" ht="15" hidden="false" customHeight="false" outlineLevel="0" collapsed="false">
      <c r="A1" s="2" t="s">
        <v>235</v>
      </c>
    </row>
    <row r="3" customFormat="false" ht="15" hidden="false" customHeight="false" outlineLevel="0" collapsed="false">
      <c r="A3" s="26" t="s">
        <v>236</v>
      </c>
      <c r="B3" s="26" t="s">
        <v>1</v>
      </c>
      <c r="C3" s="26" t="s">
        <v>12</v>
      </c>
      <c r="D3" s="26" t="s">
        <v>16</v>
      </c>
      <c r="E3" s="26" t="s">
        <v>237</v>
      </c>
    </row>
    <row r="4" customFormat="false" ht="26.85" hidden="false" customHeight="false" outlineLevel="0" collapsed="false">
      <c r="A4" s="27" t="n">
        <v>1</v>
      </c>
      <c r="B4" s="27" t="str">
        <f aca="false">INDEX('All entries'!$A$16:$A$100,MATCH(LARGE('All entries'!$M$16:$M$100,1),'All entries'!$M$16:$M$100,0))</f>
        <v>Political</v>
      </c>
      <c r="C4" s="27" t="str">
        <f aca="false">INDEX('All entries'!$B$16:$B$100,MATCH(LARGE('All entries'!$M$16:$M$100,1),'All entries'!$M$16:$M$100,0))</f>
        <v>Plan A-style US–China pause treaty (verified halt on new frontier training, declared compute, mutually assured compute destruction) [ANCHOR]</v>
      </c>
      <c r="D4" s="28" t="n">
        <f aca="false">INDEX('All entries'!$G$16:$G$100,MATCH(LARGE('All entries'!$M$16:$M$100,1),'All entries'!$M$16:$M$100,0))</f>
        <v>1000000</v>
      </c>
      <c r="E4" s="29" t="e">
        <f aca="false">INDEX(#ref!,MATCH(LARGE('All entries'!$M$16:$M$100,1),'All entries'!$M$16:$M$100,0))</f>
        <v>#NAME?</v>
      </c>
    </row>
    <row r="5" customFormat="false" ht="26.85" hidden="false" customHeight="false" outlineLevel="0" collapsed="false">
      <c r="A5" s="27" t="n">
        <v>2</v>
      </c>
      <c r="B5" s="27" t="str">
        <f aca="false">INDEX('All entries'!$A$16:$A$100,MATCH(LARGE('All entries'!$M$16:$M$100,2),'All entries'!$M$16:$M$100,0))</f>
        <v>Political</v>
      </c>
      <c r="C5" s="27" t="str">
        <f aca="false">INDEX('All entries'!$B$16:$B$100,MATCH(LARGE('All entries'!$M$16:$M$100,2),'All entries'!$M$16:$M$100,0))</f>
        <v>US–China verification regime without a pause (declared compute, inspections, inference-only checks)</v>
      </c>
      <c r="D5" s="28" t="n">
        <f aca="false">INDEX('All entries'!$G$16:$G$100,MATCH(LARGE('All entries'!$M$16:$M$100,2),'All entries'!$M$16:$M$100,0))</f>
        <v>200000</v>
      </c>
      <c r="E5" s="29" t="e">
        <f aca="false">INDEX(#ref!,MATCH(LARGE('All entries'!$M$16:$M$100,2),'All entries'!$M$16:$M$100,0))</f>
        <v>#NAME?</v>
      </c>
    </row>
    <row r="6" customFormat="false" ht="26.85" hidden="false" customHeight="false" outlineLevel="0" collapsed="false">
      <c r="A6" s="27" t="n">
        <v>3</v>
      </c>
      <c r="B6" s="27" t="str">
        <f aca="false">INDEX('All entries'!$A$16:$A$100,MATCH(LARGE('All entries'!$M$16:$M$100,3),'All entries'!$M$16:$M$100,0))</f>
        <v>Political</v>
      </c>
      <c r="C6" s="27" t="str">
        <f aca="false">INDEX('All entries'!$B$16:$B$100,MATCH(LARGE('All entries'!$M$16:$M$100,3),'All entries'!$M$16:$M$100,0))</f>
        <v>Federal standby authority to pause frontier training, plus compute tracking to make it enforceable</v>
      </c>
      <c r="D6" s="28" t="n">
        <f aca="false">INDEX('All entries'!$G$16:$G$100,MATCH(LARGE('All entries'!$M$16:$M$100,3),'All entries'!$M$16:$M$100,0))</f>
        <v>150000</v>
      </c>
      <c r="E6" s="29" t="e">
        <f aca="false">INDEX(#ref!,MATCH(LARGE('All entries'!$M$16:$M$100,3),'All entries'!$M$16:$M$100,0))</f>
        <v>#NAME?</v>
      </c>
    </row>
    <row r="7" customFormat="false" ht="15" hidden="false" customHeight="false" outlineLevel="0" collapsed="false">
      <c r="A7" s="27" t="n">
        <v>4</v>
      </c>
      <c r="B7" s="27" t="str">
        <f aca="false">INDEX('All entries'!$A$16:$A$100,MATCH(LARGE('All entries'!$M$16:$M$100,4),'All entries'!$M$16:$M$100,0))</f>
        <v>Political</v>
      </c>
      <c r="C7" s="27" t="str">
        <f aca="false">INDEX('All entries'!$B$16:$B$100,MATCH(LARGE('All entries'!$M$16:$M$100,4),'All entries'!$M$16:$M$100,0))</f>
        <v>US federal licensing / pre-deployment approval for frontier models</v>
      </c>
      <c r="D7" s="28" t="n">
        <f aca="false">INDEX('All entries'!$G$16:$G$100,MATCH(LARGE('All entries'!$M$16:$M$100,4),'All entries'!$M$16:$M$100,0))</f>
        <v>120000</v>
      </c>
      <c r="E7" s="29" t="e">
        <f aca="false">INDEX(#ref!,MATCH(LARGE('All entries'!$M$16:$M$100,4),'All entries'!$M$16:$M$100,0))</f>
        <v>#NAME?</v>
      </c>
    </row>
    <row r="8" customFormat="false" ht="26.85" hidden="false" customHeight="false" outlineLevel="0" collapsed="false">
      <c r="A8" s="27" t="n">
        <v>5</v>
      </c>
      <c r="B8" s="27" t="str">
        <f aca="false">INDEX('All entries'!$A$16:$A$100,MATCH(LARGE('All entries'!$M$16:$M$100,5),'All entries'!$M$16:$M$100,0))</f>
        <v>Political</v>
      </c>
      <c r="C8" s="27" t="str">
        <f aca="false">INDEX('All entries'!$B$16:$B$100,MATCH(LARGE('All entries'!$M$16:$M$100,5),'All entries'!$M$16:$M$100,0))</f>
        <v>International compute registry with hardware-enabled mechanisms on frontier chips</v>
      </c>
      <c r="D8" s="28" t="n">
        <f aca="false">INDEX('All entries'!$G$16:$G$100,MATCH(LARGE('All entries'!$M$16:$M$100,5),'All entries'!$M$16:$M$100,0))</f>
        <v>120000</v>
      </c>
      <c r="E8" s="29" t="e">
        <f aca="false">INDEX(#ref!,MATCH(LARGE('All entries'!$M$16:$M$100,5),'All entries'!$M$16:$M$100,0))</f>
        <v>#NAME?</v>
      </c>
    </row>
    <row r="9" customFormat="false" ht="15" hidden="false" customHeight="false" outlineLevel="0" collapsed="false">
      <c r="A9" s="27" t="n">
        <v>6</v>
      </c>
      <c r="B9" s="27" t="str">
        <f aca="false">INDEX('All entries'!$A$16:$A$100,MATCH(LARGE('All entries'!$M$16:$M$100,6),'All entries'!$M$16:$M$100,0))</f>
        <v>Community</v>
      </c>
      <c r="C9" s="27" t="str">
        <f aca="false">INDEX('All entries'!$B$16:$B$100,MATCH(LARGE('All entries'!$M$16:$M$100,6),'All entries'!$M$16:$M$100,0))</f>
        <v>LessWrong and the Sequences (with Overcoming Bias)</v>
      </c>
      <c r="D9" s="28" t="n">
        <f aca="false">INDEX('All entries'!$G$16:$G$100,MATCH(LARGE('All entries'!$M$16:$M$100,6),'All entries'!$M$16:$M$100,0))</f>
        <v>120000</v>
      </c>
      <c r="E9" s="29" t="e">
        <f aca="false">INDEX(#ref!,MATCH(LARGE('All entries'!$M$16:$M$100,6),'All entries'!$M$16:$M$100,0))</f>
        <v>#NAME?</v>
      </c>
    </row>
    <row r="10" customFormat="false" ht="26.85" hidden="false" customHeight="false" outlineLevel="0" collapsed="false">
      <c r="A10" s="27" t="n">
        <v>7</v>
      </c>
      <c r="B10" s="27" t="str">
        <f aca="false">INDEX('All entries'!$A$16:$A$100,MATCH(LARGE('All entries'!$M$16:$M$100,7),'All entries'!$M$16:$M$100,0))</f>
        <v>Community</v>
      </c>
      <c r="C10" s="27" t="str">
        <f aca="false">INDEX('All entries'!$B$16:$B$100,MATCH(LARGE('All entries'!$M$16:$M$100,7),'All entries'!$M$16:$M$100,0))</f>
        <v>Founding of effective altruism (Giving What We Can, CEA, the EA framework)</v>
      </c>
      <c r="D10" s="28" t="n">
        <f aca="false">INDEX('All entries'!$G$16:$G$100,MATCH(LARGE('All entries'!$M$16:$M$100,7),'All entries'!$M$16:$M$100,0))</f>
        <v>100000</v>
      </c>
      <c r="E10" s="29" t="e">
        <f aca="false">INDEX(#ref!,MATCH(LARGE('All entries'!$M$16:$M$100,7),'All entries'!$M$16:$M$100,0))</f>
        <v>#NAME?</v>
      </c>
    </row>
    <row r="11" customFormat="false" ht="15" hidden="false" customHeight="false" outlineLevel="0" collapsed="false">
      <c r="A11" s="27" t="n">
        <v>8</v>
      </c>
      <c r="B11" s="27" t="str">
        <f aca="false">INDEX('All entries'!$A$16:$A$100,MATCH(LARGE('All entries'!$M$16:$M$100,8),'All entries'!$M$16:$M$100,0))</f>
        <v>Political</v>
      </c>
      <c r="C11" s="27" t="str">
        <f aca="false">INDEX('All entries'!$B$16:$B$100,MATCH(LARGE('All entries'!$M$16:$M$100,8),'All entries'!$M$16:$M$100,0))</f>
        <v>Mandatory high security (SL4+) for frontier model weights</v>
      </c>
      <c r="D11" s="28" t="n">
        <f aca="false">INDEX('All entries'!$G$16:$G$100,MATCH(LARGE('All entries'!$M$16:$M$100,8),'All entries'!$M$16:$M$100,0))</f>
        <v>70000</v>
      </c>
      <c r="E11" s="29" t="e">
        <f aca="false">INDEX(#ref!,MATCH(LARGE('All entries'!$M$16:$M$100,8),'All entries'!$M$16:$M$100,0))</f>
        <v>#NAME?</v>
      </c>
    </row>
    <row r="12" customFormat="false" ht="26.85" hidden="false" customHeight="false" outlineLevel="0" collapsed="false">
      <c r="A12" s="27" t="n">
        <v>9</v>
      </c>
      <c r="B12" s="27" t="str">
        <f aca="false">INDEX('All entries'!$A$16:$A$100,MATCH(LARGE('All entries'!$M$16:$M$100,9),'All entries'!$M$16:$M$100,0))</f>
        <v>Alignment</v>
      </c>
      <c r="C12" s="27" t="str">
        <f aca="false">INDEX('All entries'!$B$16:$B$100,MATCH(LARGE('All entries'!$M$16:$M$100,9),'All entries'!$M$16:$M$100,0))</f>
        <v>Problem framing: orthogonality, instrumental convergence, corrigibility, the sharp left turn</v>
      </c>
      <c r="D12" s="28" t="n">
        <f aca="false">INDEX('All entries'!$G$16:$G$100,MATCH(LARGE('All entries'!$M$16:$M$100,9),'All entries'!$M$16:$M$100,0))</f>
        <v>60000</v>
      </c>
      <c r="E12" s="29" t="e">
        <f aca="false">INDEX(#ref!,MATCH(LARGE('All entries'!$M$16:$M$100,9),'All entries'!$M$16:$M$100,0))</f>
        <v>#NAME?</v>
      </c>
    </row>
    <row r="13" customFormat="false" ht="26.85" hidden="false" customHeight="false" outlineLevel="0" collapsed="false">
      <c r="A13" s="27" t="n">
        <v>10</v>
      </c>
      <c r="B13" s="27" t="str">
        <f aca="false">INDEX('All entries'!$A$16:$A$100,MATCH(LARGE('All entries'!$M$16:$M$100,10),'All entries'!$M$16:$M$100,0))</f>
        <v>Political</v>
      </c>
      <c r="C13" s="27" t="str">
        <f aca="false">INDEX('All entries'!$B$16:$B$100,MATCH(LARGE('All entries'!$M$16:$M$100,10),'All entries'!$M$16:$M$100,0))</f>
        <v>Federal frontier transparency law (public model specs, safety cases, capability disclosure, incident reporting)</v>
      </c>
      <c r="D13" s="28" t="n">
        <f aca="false">INDEX('All entries'!$G$16:$G$100,MATCH(LARGE('All entries'!$M$16:$M$100,10),'All entries'!$M$16:$M$100,0))</f>
        <v>50000</v>
      </c>
      <c r="E13" s="29" t="e">
        <f aca="false">INDEX(#ref!,MATCH(LARGE('All entries'!$M$16:$M$100,10),'All entries'!$M$16:$M$100,0))</f>
        <v>#NAME?</v>
      </c>
    </row>
    <row r="14" customFormat="false" ht="15" hidden="false" customHeight="false" outlineLevel="0" collapsed="false">
      <c r="A14" s="27" t="n">
        <v>11</v>
      </c>
      <c r="B14" s="27" t="str">
        <f aca="false">INDEX('All entries'!$A$16:$A$100,MATCH(LARGE('All entries'!$M$16:$M$100,11),'All entries'!$M$16:$M$100,0))</f>
        <v>Political</v>
      </c>
      <c r="C14" s="27" t="str">
        <f aca="false">INDEX('All entries'!$B$16:$B$100,MATCH(LARGE('All entries'!$M$16:$M$100,11),'All entries'!$M$16:$M$100,0))</f>
        <v>Mandatory government pre-deployment testing of frontier models (CAISI)</v>
      </c>
      <c r="D14" s="28" t="n">
        <f aca="false">INDEX('All entries'!$G$16:$G$100,MATCH(LARGE('All entries'!$M$16:$M$100,11),'All entries'!$M$16:$M$100,0))</f>
        <v>50000</v>
      </c>
      <c r="E14" s="29" t="e">
        <f aca="false">INDEX(#ref!,MATCH(LARGE('All entries'!$M$16:$M$100,11),'All entries'!$M$16:$M$100,0))</f>
        <v>#NAME?</v>
      </c>
    </row>
    <row r="15" customFormat="false" ht="15" hidden="false" customHeight="false" outlineLevel="0" collapsed="false">
      <c r="A15" s="27" t="n">
        <v>12</v>
      </c>
      <c r="B15" s="27" t="str">
        <f aca="false">INDEX('All entries'!$A$16:$A$100,MATCH(LARGE('All entries'!$M$16:$M$100,12),'All entries'!$M$16:$M$100,0))</f>
        <v>Political</v>
      </c>
      <c r="C15" s="27" t="str">
        <f aca="false">INDEX('All entries'!$B$16:$B$100,MATCH(LARGE('All entries'!$M$16:$M$100,12),'All entries'!$M$16:$M$100,0))</f>
        <v>Government alignment/control research program over $1B/year</v>
      </c>
      <c r="D15" s="28" t="n">
        <f aca="false">INDEX('All entries'!$G$16:$G$100,MATCH(LARGE('All entries'!$M$16:$M$100,12),'All entries'!$M$16:$M$100,0))</f>
        <v>50000</v>
      </c>
      <c r="E15" s="29" t="e">
        <f aca="false">INDEX(#ref!,MATCH(LARGE('All entries'!$M$16:$M$100,12),'All entries'!$M$16:$M$100,0))</f>
        <v>#NAME?</v>
      </c>
    </row>
    <row r="16" customFormat="false" ht="26.85" hidden="false" customHeight="false" outlineLevel="0" collapsed="false">
      <c r="A16" s="27" t="n">
        <v>13</v>
      </c>
      <c r="B16" s="27" t="str">
        <f aca="false">INDEX('All entries'!$A$16:$A$100,MATCH(LARGE('All entries'!$M$16:$M$100,13),'All entries'!$M$16:$M$100,0))</f>
        <v>Political</v>
      </c>
      <c r="C16" s="27" t="str">
        <f aca="false">INDEX('All entries'!$B$16:$B$100,MATCH(LARGE('All entries'!$M$16:$M$100,13),'All entries'!$M$16:$M$100,0))</f>
        <v>Legal requirements against AI-enabled power grabs (public model specs, no secret loyalties, limits on government use)</v>
      </c>
      <c r="D16" s="28" t="n">
        <f aca="false">INDEX('All entries'!$G$16:$G$100,MATCH(LARGE('All entries'!$M$16:$M$100,13),'All entries'!$M$16:$M$100,0))</f>
        <v>50000</v>
      </c>
      <c r="E16" s="29" t="e">
        <f aca="false">INDEX(#ref!,MATCH(LARGE('All entries'!$M$16:$M$100,13),'All entries'!$M$16:$M$100,0))</f>
        <v>#NAME?</v>
      </c>
    </row>
    <row r="17" customFormat="false" ht="15" hidden="false" customHeight="false" outlineLevel="0" collapsed="false">
      <c r="A17" s="27" t="n">
        <v>14</v>
      </c>
      <c r="B17" s="27" t="str">
        <f aca="false">INDEX('All entries'!$A$16:$A$100,MATCH(LARGE('All entries'!$M$16:$M$100,14),'All entries'!$M$16:$M$100,0))</f>
        <v>Alignment</v>
      </c>
      <c r="C17" s="27" t="str">
        <f aca="false">INDEX('All entries'!$B$16:$B$100,MATCH(LARGE('All entries'!$M$16:$M$100,14),'All entries'!$M$16:$M$100,0))</f>
        <v>AI control: safety even if the model is scheming</v>
      </c>
      <c r="D17" s="28" t="n">
        <f aca="false">INDEX('All entries'!$G$16:$G$100,MATCH(LARGE('All entries'!$M$16:$M$100,14),'All entries'!$M$16:$M$100,0))</f>
        <v>45000</v>
      </c>
      <c r="E17" s="29" t="e">
        <f aca="false">INDEX(#ref!,MATCH(LARGE('All entries'!$M$16:$M$100,14),'All entries'!$M$16:$M$100,0))</f>
        <v>#NAME?</v>
      </c>
    </row>
    <row r="18" customFormat="false" ht="15" hidden="false" customHeight="false" outlineLevel="0" collapsed="false">
      <c r="A18" s="27" t="n">
        <v>15</v>
      </c>
      <c r="B18" s="27" t="str">
        <f aca="false">INDEX('All entries'!$A$16:$A$100,MATCH(LARGE('All entries'!$M$16:$M$100,15),'All entries'!$M$16:$M$100,0))</f>
        <v>Political</v>
      </c>
      <c r="C18" s="27" t="str">
        <f aca="false">INDEX('All entries'!$B$16:$B$100,MATCH(LARGE('All entries'!$M$16:$M$100,15),'All entries'!$M$16:$M$100,0))</f>
        <v>Restore presumption-of-denial export controls on frontier AI chips to China</v>
      </c>
      <c r="D18" s="28" t="n">
        <f aca="false">INDEX('All entries'!$G$16:$G$100,MATCH(LARGE('All entries'!$M$16:$M$100,15),'All entries'!$M$16:$M$100,0))</f>
        <v>40000</v>
      </c>
      <c r="E18" s="29" t="e">
        <f aca="false">INDEX(#ref!,MATCH(LARGE('All entries'!$M$16:$M$100,15),'All entries'!$M$16:$M$100,0))</f>
        <v>#NAME?</v>
      </c>
    </row>
    <row r="19" customFormat="false" ht="15" hidden="false" customHeight="false" outlineLevel="0" collapsed="false">
      <c r="A19" s="27" t="n">
        <v>16</v>
      </c>
      <c r="B19" s="27" t="str">
        <f aca="false">INDEX('All entries'!$A$16:$A$100,MATCH(LARGE('All entries'!$M$16:$M$100,16),'All entries'!$M$16:$M$100,0))</f>
        <v>Community</v>
      </c>
      <c r="C19" s="27" t="str">
        <f aca="false">INDEX('All entries'!$B$16:$B$100,MATCH(LARGE('All entries'!$M$16:$M$100,16),'All entries'!$M$16:$M$100,0))</f>
        <v>80,000 Hours career advice, AI-focused since about 2017</v>
      </c>
      <c r="D19" s="28" t="n">
        <f aca="false">INDEX('All entries'!$G$16:$G$100,MATCH(LARGE('All entries'!$M$16:$M$100,16),'All entries'!$M$16:$M$100,0))</f>
        <v>40000</v>
      </c>
      <c r="E19" s="29" t="e">
        <f aca="false">INDEX(#ref!,MATCH(LARGE('All entries'!$M$16:$M$100,16),'All entries'!$M$16:$M$100,0))</f>
        <v>#NAME?</v>
      </c>
    </row>
    <row r="20" customFormat="false" ht="15" hidden="false" customHeight="false" outlineLevel="0" collapsed="false">
      <c r="A20" s="27" t="n">
        <v>17</v>
      </c>
      <c r="B20" s="27" t="str">
        <f aca="false">INDEX('All entries'!$A$16:$A$100,MATCH(LARGE('All entries'!$M$16:$M$100,17),'All entries'!$M$16:$M$100,0))</f>
        <v>Political</v>
      </c>
      <c r="C20" s="27" t="str">
        <f aca="false">INDEX('All entries'!$B$16:$B$100,MATCH(LARGE('All entries'!$M$16:$M$100,17),'All entries'!$M$16:$M$100,0))</f>
        <v>Standing US–China government channel on frontier AI risk</v>
      </c>
      <c r="D20" s="28" t="n">
        <f aca="false">INDEX('All entries'!$G$16:$G$100,MATCH(LARGE('All entries'!$M$16:$M$100,17),'All entries'!$M$16:$M$100,0))</f>
        <v>30000</v>
      </c>
      <c r="E20" s="29" t="e">
        <f aca="false">INDEX(#ref!,MATCH(LARGE('All entries'!$M$16:$M$100,17),'All entries'!$M$16:$M$100,0))</f>
        <v>#NAME?</v>
      </c>
    </row>
    <row r="21" customFormat="false" ht="15" hidden="false" customHeight="false" outlineLevel="0" collapsed="false">
      <c r="A21" s="27" t="n">
        <v>18</v>
      </c>
      <c r="B21" s="27" t="str">
        <f aca="false">INDEX('All entries'!$A$16:$A$100,MATCH(LARGE('All entries'!$M$16:$M$100,18),'All entries'!$M$16:$M$100,0))</f>
        <v>Community</v>
      </c>
      <c r="C21" s="27" t="str">
        <f aca="false">INDEX('All entries'!$B$16:$B$100,MATCH(LARGE('All entries'!$M$16:$M$100,18),'All entries'!$M$16:$M$100,0))</f>
        <v>Small-grant ecosystem (Long-Term Future Fund, SFF and similar)</v>
      </c>
      <c r="D21" s="28" t="n">
        <f aca="false">INDEX('All entries'!$G$16:$G$100,MATCH(LARGE('All entries'!$M$16:$M$100,18),'All entries'!$M$16:$M$100,0))</f>
        <v>30000</v>
      </c>
      <c r="E21" s="29" t="e">
        <f aca="false">INDEX(#ref!,MATCH(LARGE('All entries'!$M$16:$M$100,18),'All entries'!$M$16:$M$100,0))</f>
        <v>#NAME?</v>
      </c>
    </row>
    <row r="22" customFormat="false" ht="15" hidden="false" customHeight="false" outlineLevel="0" collapsed="false">
      <c r="A22" s="27" t="n">
        <v>19</v>
      </c>
      <c r="B22" s="27" t="str">
        <f aca="false">INDEX('All entries'!$A$16:$A$100,MATCH(LARGE('All entries'!$M$16:$M$100,19),'All entries'!$M$16:$M$100,0))</f>
        <v>Social shift</v>
      </c>
      <c r="C22" s="27" t="str">
        <f aca="false">INDEX('All entries'!$B$16:$B$100,MATCH(LARGE('All entries'!$M$16:$M$100,19),'All entries'!$M$16:$M$100,0))</f>
        <v>AI risk concern becomes bipartisan, including on the populist right</v>
      </c>
      <c r="D22" s="28" t="n">
        <f aca="false">INDEX('All entries'!$G$16:$G$100,MATCH(LARGE('All entries'!$M$16:$M$100,19),'All entries'!$M$16:$M$100,0))</f>
        <v>30000</v>
      </c>
      <c r="E22" s="29" t="e">
        <f aca="false">INDEX(#ref!,MATCH(LARGE('All entries'!$M$16:$M$100,19),'All entries'!$M$16:$M$100,0))</f>
        <v>#NAME?</v>
      </c>
    </row>
    <row r="23" customFormat="false" ht="15" hidden="false" customHeight="false" outlineLevel="0" collapsed="false">
      <c r="A23" s="27" t="n">
        <v>20</v>
      </c>
      <c r="B23" s="27" t="str">
        <f aca="false">INDEX('All entries'!$A$16:$A$100,MATCH(LARGE('All entries'!$M$16:$M$100,20),'All entries'!$M$16:$M$100,0))</f>
        <v>Social shift</v>
      </c>
      <c r="C23" s="27" t="str">
        <f aca="false">INDEX('All entries'!$B$16:$B$100,MATCH(LARGE('All entries'!$M$16:$M$100,20),'All entries'!$M$16:$M$100,0))</f>
        <v>Governments found AI Safety Institutes</v>
      </c>
      <c r="D23" s="28" t="n">
        <f aca="false">INDEX('All entries'!$G$16:$G$100,MATCH(LARGE('All entries'!$M$16:$M$100,20),'All entries'!$M$16:$M$100,0))</f>
        <v>27000</v>
      </c>
      <c r="E23" s="29" t="e">
        <f aca="false">INDEX(#ref!,MATCH(LARGE('All entries'!$M$16:$M$100,20),'All entries'!$M$16:$M$100,0))</f>
        <v>#NAME?</v>
      </c>
    </row>
    <row r="24" customFormat="false" ht="15" hidden="false" customHeight="false" outlineLevel="0" collapsed="false">
      <c r="A24" s="27" t="n">
        <v>21</v>
      </c>
      <c r="B24" s="27" t="str">
        <f aca="false">INDEX('All entries'!$A$16:$A$100,MATCH(LARGE('All entries'!$M$16:$M$100,21),'All entries'!$M$16:$M$100,0))</f>
        <v>Political</v>
      </c>
      <c r="C24" s="27" t="str">
        <f aca="false">INDEX('All entries'!$B$16:$B$100,MATCH(LARGE('All entries'!$M$16:$M$100,21),'All entries'!$M$16:$M$100,0))</f>
        <v>California SB 53 (Transparency in Frontier AI Act)</v>
      </c>
      <c r="D24" s="28" t="n">
        <f aca="false">INDEX('All entries'!$G$16:$G$100,MATCH(LARGE('All entries'!$M$16:$M$100,21),'All entries'!$M$16:$M$100,0))</f>
        <v>25000</v>
      </c>
      <c r="E24" s="29" t="e">
        <f aca="false">INDEX(#ref!,MATCH(LARGE('All entries'!$M$16:$M$100,21),'All entries'!$M$16:$M$100,0))</f>
        <v>#NAME?</v>
      </c>
    </row>
    <row r="25" customFormat="false" ht="15" hidden="false" customHeight="false" outlineLevel="0" collapsed="false">
      <c r="A25" s="27" t="n">
        <v>22</v>
      </c>
      <c r="B25" s="27" t="str">
        <f aca="false">INDEX('All entries'!$A$16:$A$100,MATCH(LARGE('All entries'!$M$16:$M$100,22),'All entries'!$M$16:$M$100,0))</f>
        <v>Alignment</v>
      </c>
      <c r="C25" s="27" t="str">
        <f aca="false">INDEX('All entries'!$B$16:$B$100,MATCH(LARGE('All entries'!$M$16:$M$100,22),'All entries'!$M$16:$M$100,0))</f>
        <v>Model organisms of misalignment: sleeper agents and alignment faking</v>
      </c>
      <c r="D25" s="28" t="n">
        <f aca="false">INDEX('All entries'!$G$16:$G$100,MATCH(LARGE('All entries'!$M$16:$M$100,22),'All entries'!$M$16:$M$100,0))</f>
        <v>25000</v>
      </c>
      <c r="E25" s="29" t="e">
        <f aca="false">INDEX(#ref!,MATCH(LARGE('All entries'!$M$16:$M$100,22),'All entries'!$M$16:$M$100,0))</f>
        <v>#NAME?</v>
      </c>
    </row>
    <row r="26" customFormat="false" ht="26.85" hidden="false" customHeight="false" outlineLevel="0" collapsed="false">
      <c r="A26" s="27" t="n">
        <v>23</v>
      </c>
      <c r="B26" s="27" t="str">
        <f aca="false">INDEX('All entries'!$A$16:$A$100,MATCH(LARGE('All entries'!$M$16:$M$100,23),'All entries'!$M$16:$M$100,0))</f>
        <v>Community</v>
      </c>
      <c r="C26" s="27" t="str">
        <f aca="false">INDEX('All entries'!$B$16:$B$100,MATCH(LARGE('All entries'!$M$16:$M$100,23),'All entries'!$M$16:$M$100,0))</f>
        <v>MATS (ML Alignment &amp; Theory Scholars)</v>
      </c>
      <c r="D26" s="28" t="n">
        <f aca="false">INDEX('All entries'!$G$16:$G$100,MATCH(LARGE('All entries'!$M$16:$M$100,23),'All entries'!$M$16:$M$100,0))</f>
        <v>25000</v>
      </c>
      <c r="E26" s="29" t="e">
        <f aca="false">INDEX(#ref!,MATCH(LARGE('All entries'!$M$16:$M$100,23),'All entries'!$M$16:$M$100,0))</f>
        <v>#NAME?</v>
      </c>
    </row>
    <row r="27" customFormat="false" ht="15" hidden="false" customHeight="false" outlineLevel="0" collapsed="false">
      <c r="A27" s="27" t="n">
        <v>24</v>
      </c>
      <c r="B27" s="27" t="str">
        <f aca="false">INDEX('All entries'!$A$16:$A$100,MATCH(LARGE('All entries'!$M$16:$M$100,24),'All entries'!$M$16:$M$100,0))</f>
        <v>Political</v>
      </c>
      <c r="C27" s="27" t="str">
        <f aca="false">INDEX('All entries'!$B$16:$B$100,MATCH(LARGE('All entries'!$M$16:$M$100,24),'All entries'!$M$16:$M$100,0))</f>
        <v>Defeat federal preemption of state AI laws in 2026 (Great American AI Act draft, EO 14365 litigation)</v>
      </c>
      <c r="D27" s="28" t="n">
        <f aca="false">INDEX('All entries'!$G$16:$G$100,MATCH(LARGE('All entries'!$M$16:$M$100,24),'All entries'!$M$16:$M$100,0))</f>
        <v>24000</v>
      </c>
      <c r="E27" s="29" t="e">
        <f aca="false">INDEX(#ref!,MATCH(LARGE('All entries'!$M$16:$M$100,24),'All entries'!$M$16:$M$100,0))</f>
        <v>#NAME?</v>
      </c>
    </row>
    <row r="28" customFormat="false" ht="26.85" hidden="false" customHeight="false" outlineLevel="0" collapsed="false">
      <c r="A28" s="27" t="n">
        <v>25</v>
      </c>
      <c r="B28" s="27" t="str">
        <f aca="false">INDEX('All entries'!$A$16:$A$100,MATCH(LARGE('All entries'!$M$16:$M$100,25),'All entries'!$M$16:$M$100,0))</f>
        <v>Political</v>
      </c>
      <c r="C28" s="27" t="str">
        <f aca="false">INDEX('All entries'!$B$16:$B$100,MATCH(LARGE('All entries'!$M$16:$M$100,25),'All entries'!$M$16:$M$100,0))</f>
        <v>Federal AI whistleblower protection law</v>
      </c>
      <c r="D28" s="28" t="n">
        <f aca="false">INDEX('All entries'!$G$16:$G$100,MATCH(LARGE('All entries'!$M$16:$M$100,25),'All entries'!$M$16:$M$100,0))</f>
        <v>20000</v>
      </c>
      <c r="E28" s="29" t="e">
        <f aca="false">INDEX(#ref!,MATCH(LARGE('All entries'!$M$16:$M$100,25),'All entries'!$M$16:$M$100,0))</f>
        <v>#NAME?</v>
      </c>
    </row>
    <row r="29" customFormat="false" ht="26.85" hidden="false" customHeight="false" outlineLevel="0" collapsed="false">
      <c r="A29" s="27" t="n">
        <v>26</v>
      </c>
      <c r="B29" s="27" t="str">
        <f aca="false">INDEX('All entries'!$A$16:$A$100,MATCH(LARGE('All entries'!$M$16:$M$100,26),'All entries'!$M$16:$M$100,0))</f>
        <v>Political</v>
      </c>
      <c r="C29" s="27" t="str">
        <f aca="false">INDEX('All entries'!$B$16:$B$100,MATCH(LARGE('All entries'!$M$16:$M$100,26),'All entries'!$M$16:$M$100,0))</f>
        <v>Senate strips 10-year moratorium on state AI laws from the reconciliation bill</v>
      </c>
      <c r="D29" s="28" t="n">
        <f aca="false">INDEX('All entries'!$G$16:$G$100,MATCH(LARGE('All entries'!$M$16:$M$100,26),'All entries'!$M$16:$M$100,0))</f>
        <v>20000</v>
      </c>
      <c r="E29" s="29" t="e">
        <f aca="false">INDEX(#ref!,MATCH(LARGE('All entries'!$M$16:$M$100,26),'All entries'!$M$16:$M$100,0))</f>
        <v>#NAME?</v>
      </c>
    </row>
    <row r="30" customFormat="false" ht="15" hidden="false" customHeight="false" outlineLevel="0" collapsed="false">
      <c r="A30" s="27" t="n">
        <v>27</v>
      </c>
      <c r="B30" s="27" t="str">
        <f aca="false">INDEX('All entries'!$A$16:$A$100,MATCH(LARGE('All entries'!$M$16:$M$100,27),'All entries'!$M$16:$M$100,0))</f>
        <v>Political</v>
      </c>
      <c r="C30" s="27" t="str">
        <f aca="false">INDEX('All entries'!$B$16:$B$100,MATCH(LARGE('All entries'!$M$16:$M$100,27),'All entries'!$M$16:$M$100,0))</f>
        <v>EU AI Act obligations for general-purpose models plus the Code of Practice safety chapter</v>
      </c>
      <c r="D30" s="28" t="n">
        <f aca="false">INDEX('All entries'!$G$16:$G$100,MATCH(LARGE('All entries'!$M$16:$M$100,27),'All entries'!$M$16:$M$100,0))</f>
        <v>20000</v>
      </c>
      <c r="E30" s="29" t="e">
        <f aca="false">INDEX(#ref!,MATCH(LARGE('All entries'!$M$16:$M$100,27),'All entries'!$M$16:$M$100,0))</f>
        <v>#NAME?</v>
      </c>
    </row>
    <row r="31" customFormat="false" ht="15" hidden="false" customHeight="false" outlineLevel="0" collapsed="false">
      <c r="A31" s="27" t="n">
        <v>28</v>
      </c>
      <c r="B31" s="27" t="str">
        <f aca="false">INDEX('All entries'!$A$16:$A$100,MATCH(LARGE('All entries'!$M$16:$M$100,28),'All entries'!$M$16:$M$100,0))</f>
        <v>Alignment</v>
      </c>
      <c r="C31" s="27" t="str">
        <f aca="false">INDEX('All entries'!$B$16:$B$100,MATCH(LARGE('All entries'!$M$16:$M$100,28),'All entries'!$M$16:$M$100,0))</f>
        <v>Circuits program: reverse-engineering networks, induction heads</v>
      </c>
      <c r="D31" s="28" t="n">
        <f aca="false">INDEX('All entries'!$G$16:$G$100,MATCH(LARGE('All entries'!$M$16:$M$100,28),'All entries'!$M$16:$M$100,0))</f>
        <v>20000</v>
      </c>
      <c r="E31" s="29" t="e">
        <f aca="false">INDEX(#ref!,MATCH(LARGE('All entries'!$M$16:$M$100,28),'All entries'!$M$16:$M$100,0))</f>
        <v>#NAME?</v>
      </c>
    </row>
    <row r="32" customFormat="false" ht="15" hidden="false" customHeight="false" outlineLevel="0" collapsed="false">
      <c r="A32" s="27" t="n">
        <v>29</v>
      </c>
      <c r="B32" s="27" t="str">
        <f aca="false">INDEX('All entries'!$A$16:$A$100,MATCH(LARGE('All entries'!$M$16:$M$100,29),'All entries'!$M$16:$M$100,0))</f>
        <v>Alignment</v>
      </c>
      <c r="C32" s="27" t="str">
        <f aca="false">INDEX('All entries'!$B$16:$B$100,MATCH(LARGE('All entries'!$M$16:$M$100,29),'All entries'!$M$16:$M$100,0))</f>
        <v>Risks from Learned Optimization (mesa-optimization, deceptive alignment)</v>
      </c>
      <c r="D32" s="28" t="n">
        <f aca="false">INDEX('All entries'!$G$16:$G$100,MATCH(LARGE('All entries'!$M$16:$M$100,29),'All entries'!$M$16:$M$100,0))</f>
        <v>20000</v>
      </c>
      <c r="E32" s="29" t="e">
        <f aca="false">INDEX(#ref!,MATCH(LARGE('All entries'!$M$16:$M$100,29),'All entries'!$M$16:$M$100,0))</f>
        <v>#NAME?</v>
      </c>
    </row>
    <row r="33" customFormat="false" ht="15" hidden="false" customHeight="false" outlineLevel="0" collapsed="false">
      <c r="A33" s="27" t="n">
        <v>30</v>
      </c>
      <c r="B33" s="27" t="str">
        <f aca="false">INDEX('All entries'!$A$16:$A$100,MATCH(LARGE('All entries'!$M$16:$M$100,30),'All entries'!$M$16:$M$100,0))</f>
        <v>Community</v>
      </c>
      <c r="C33" s="27" t="str">
        <f aca="false">INDEX('All entries'!$B$16:$B$100,MATCH(LARGE('All entries'!$M$16:$M$100,30),'All entries'!$M$16:$M$100,0))</f>
        <v>LessWrong 2.0 revival and the Alignment Forum</v>
      </c>
      <c r="D33" s="28" t="n">
        <f aca="false">INDEX('All entries'!$G$16:$G$100,MATCH(LARGE('All entries'!$M$16:$M$100,30),'All entries'!$M$16:$M$100,0))</f>
        <v>20000</v>
      </c>
      <c r="E33" s="29" t="e">
        <f aca="false">INDEX(#ref!,MATCH(LARGE('All entries'!$M$16:$M$100,30),'All entries'!$M$16:$M$100,0))</f>
        <v>#NAME?</v>
      </c>
    </row>
    <row r="34" customFormat="false" ht="15" hidden="false" customHeight="false" outlineLevel="0" collapsed="false">
      <c r="A34" s="27" t="n">
        <v>31</v>
      </c>
      <c r="B34" s="27" t="str">
        <f aca="false">INDEX('All entries'!$A$16:$A$100,MATCH(LARGE('All entries'!$M$16:$M$100,31),'All entries'!$M$16:$M$100,0))</f>
        <v>Social shift</v>
      </c>
      <c r="C34" s="27" t="str">
        <f aca="false">INDEX('All entries'!$B$16:$B$100,MATCH(LARGE('All entries'!$M$16:$M$100,31),'All entries'!$M$16:$M$100,0))</f>
        <v>Geoffrey Hinton leaves Google and warns publicly about extinction risk</v>
      </c>
      <c r="D34" s="28" t="n">
        <f aca="false">INDEX('All entries'!$G$16:$G$100,MATCH(LARGE('All entries'!$M$16:$M$100,31),'All entries'!$M$16:$M$100,0))</f>
        <v>20000</v>
      </c>
      <c r="E34" s="29" t="e">
        <f aca="false">INDEX(#ref!,MATCH(LARGE('All entries'!$M$16:$M$100,31),'All entries'!$M$16:$M$100,0))</f>
        <v>#NAME?</v>
      </c>
    </row>
    <row r="35" customFormat="false" ht="26.85" hidden="false" customHeight="false" outlineLevel="0" collapsed="false">
      <c r="A35" s="27" t="n">
        <v>32</v>
      </c>
      <c r="B35" s="27" t="str">
        <f aca="false">INDEX('All entries'!$A$16:$A$100,MATCH(LARGE('All entries'!$M$16:$M$100,32),'All entries'!$M$16:$M$100,0))</f>
        <v>Generic: $1B to grantmaker</v>
      </c>
      <c r="C35" s="27" t="str">
        <f aca="false">INDEX('All entries'!$B$16:$B$100,MATCH(LARGE('All entries'!$M$16:$M$100,32),'All entries'!$M$16:$M$100,0))</f>
        <v>$1B given to a grantmaker like CG or SFF, spent in their usual way</v>
      </c>
      <c r="D35" s="28" t="n">
        <f aca="false">INDEX('All entries'!$G$16:$G$100,MATCH(LARGE('All entries'!$M$16:$M$100,32),'All entries'!$M$16:$M$100,0))</f>
        <v>20000</v>
      </c>
      <c r="E35" s="29" t="e">
        <f aca="false">INDEX(#ref!,MATCH(LARGE('All entries'!$M$16:$M$100,32),'All entries'!$M$16:$M$100,0))</f>
        <v>#NAME?</v>
      </c>
    </row>
    <row r="36" customFormat="false" ht="15" hidden="false" customHeight="false" outlineLevel="0" collapsed="false">
      <c r="A36" s="27" t="n">
        <v>33</v>
      </c>
      <c r="B36" s="27" t="str">
        <f aca="false">INDEX('All entries'!$A$16:$A$100,MATCH(LARGE('All entries'!$M$16:$M$100,33),'All entries'!$M$16:$M$100,0))</f>
        <v>Alignment</v>
      </c>
      <c r="C36" s="27" t="str">
        <f aca="false">INDEX('All entries'!$B$16:$B$100,MATCH(LARGE('All entries'!$M$16:$M$100,33),'All entries'!$M$16:$M$100,0))</f>
        <v>Chain-of-thought monitorability</v>
      </c>
      <c r="D36" s="28" t="n">
        <f aca="false">INDEX('All entries'!$G$16:$G$100,MATCH(LARGE('All entries'!$M$16:$M$100,33),'All entries'!$M$16:$M$100,0))</f>
        <v>18000</v>
      </c>
      <c r="E36" s="29" t="e">
        <f aca="false">INDEX(#ref!,MATCH(LARGE('All entries'!$M$16:$M$100,33),'All entries'!$M$16:$M$100,0))</f>
        <v>#NAME?</v>
      </c>
    </row>
    <row r="37" customFormat="false" ht="15" hidden="false" customHeight="false" outlineLevel="0" collapsed="false">
      <c r="A37" s="27" t="n">
        <v>34</v>
      </c>
      <c r="B37" s="27" t="str">
        <f aca="false">INDEX('All entries'!$A$16:$A$100,MATCH(LARGE('All entries'!$M$16:$M$100,34),'All entries'!$M$16:$M$100,0))</f>
        <v>Social shift</v>
      </c>
      <c r="C37" s="27" t="str">
        <f aca="false">INDEX('All entries'!$B$16:$B$100,MATCH(LARGE('All entries'!$M$16:$M$100,34),'All entries'!$M$16:$M$100,0))</f>
        <v>AI 2027 scenario goes mainstream</v>
      </c>
      <c r="D37" s="28" t="n">
        <f aca="false">INDEX('All entries'!$G$16:$G$100,MATCH(LARGE('All entries'!$M$16:$M$100,34),'All entries'!$M$16:$M$100,0))</f>
        <v>18000</v>
      </c>
      <c r="E37" s="29" t="e">
        <f aca="false">INDEX(#ref!,MATCH(LARGE('All entries'!$M$16:$M$100,34),'All entries'!$M$16:$M$100,0))</f>
        <v>#NAME?</v>
      </c>
    </row>
    <row r="38" customFormat="false" ht="15" hidden="false" customHeight="false" outlineLevel="0" collapsed="false">
      <c r="A38" s="27" t="n">
        <v>35</v>
      </c>
      <c r="B38" s="27" t="str">
        <f aca="false">INDEX('All entries'!$A$16:$A$100,MATCH(LARGE('All entries'!$M$16:$M$100,35),'All entries'!$M$16:$M$100,0))</f>
        <v>Political</v>
      </c>
      <c r="C38" s="27" t="str">
        <f aca="false">INDEX('All entries'!$B$16:$B$100,MATCH(LARGE('All entries'!$M$16:$M$100,35),'All entries'!$M$16:$M$100,0))</f>
        <v>Chip Security Act (location verification on exported AI chips)</v>
      </c>
      <c r="D38" s="28" t="n">
        <f aca="false">INDEX('All entries'!$G$16:$G$100,MATCH(LARGE('All entries'!$M$16:$M$100,35),'All entries'!$M$16:$M$100,0))</f>
        <v>16000</v>
      </c>
      <c r="E38" s="29" t="e">
        <f aca="false">INDEX(#ref!,MATCH(LARGE('All entries'!$M$16:$M$100,35),'All entries'!$M$16:$M$100,0))</f>
        <v>#NAME?</v>
      </c>
    </row>
    <row r="39" customFormat="false" ht="15" hidden="false" customHeight="false" outlineLevel="0" collapsed="false">
      <c r="A39" s="27" t="n">
        <v>36</v>
      </c>
      <c r="B39" s="27" t="str">
        <f aca="false">INDEX('All entries'!$A$16:$A$100,MATCH(LARGE('All entries'!$M$16:$M$100,36),'All entries'!$M$16:$M$100,0))</f>
        <v>Social shift</v>
      </c>
      <c r="C39" s="27" t="str">
        <f aca="false">INDEX('All entries'!$B$16:$B$100,MATCH(LARGE('All entries'!$M$16:$M$100,36),'All entries'!$M$16:$M$100,0))</f>
        <v>CAIS Statement on AI Risk</v>
      </c>
      <c r="D39" s="28" t="n">
        <f aca="false">INDEX('All entries'!$G$16:$G$100,MATCH(LARGE('All entries'!$M$16:$M$100,36),'All entries'!$M$16:$M$100,0))</f>
        <v>16000</v>
      </c>
      <c r="E39" s="29" t="e">
        <f aca="false">INDEX(#ref!,MATCH(LARGE('All entries'!$M$16:$M$100,36),'All entries'!$M$16:$M$100,0))</f>
        <v>#NAME?</v>
      </c>
    </row>
    <row r="40" customFormat="false" ht="15" hidden="false" customHeight="false" outlineLevel="0" collapsed="false">
      <c r="A40" s="27" t="n">
        <v>37</v>
      </c>
      <c r="B40" s="27" t="str">
        <f aca="false">INDEX('All entries'!$A$16:$A$100,MATCH(LARGE('All entries'!$M$16:$M$100,37),'All entries'!$M$16:$M$100,0))</f>
        <v>Alignment</v>
      </c>
      <c r="C40" s="27" t="str">
        <f aca="false">INDEX('All entries'!$B$16:$B$100,MATCH(LARGE('All entries'!$M$16:$M$100,37),'All entries'!$M$16:$M$100,0))</f>
        <v>ELK, iterated amplification and related conceptual agendas</v>
      </c>
      <c r="D40" s="28" t="n">
        <f aca="false">INDEX('All entries'!$G$16:$G$100,MATCH(LARGE('All entries'!$M$16:$M$100,37),'All entries'!$M$16:$M$100,0))</f>
        <v>15000</v>
      </c>
      <c r="E40" s="29" t="e">
        <f aca="false">INDEX(#ref!,MATCH(LARGE('All entries'!$M$16:$M$100,37),'All entries'!$M$16:$M$100,0))</f>
        <v>#NAME?</v>
      </c>
    </row>
    <row r="41" customFormat="false" ht="15" hidden="false" customHeight="false" outlineLevel="0" collapsed="false">
      <c r="A41" s="27" t="n">
        <v>38</v>
      </c>
      <c r="B41" s="27" t="str">
        <f aca="false">INDEX('All entries'!$A$16:$A$100,MATCH(LARGE('All entries'!$M$16:$M$100,38),'All entries'!$M$16:$M$100,0))</f>
        <v>Alignment</v>
      </c>
      <c r="C41" s="27" t="str">
        <f aca="false">INDEX('All entries'!$B$16:$B$100,MATCH(LARGE('All entries'!$M$16:$M$100,38),'All entries'!$M$16:$M$100,0))</f>
        <v>Superposition and sparse autoencoders (dictionary learning)</v>
      </c>
      <c r="D41" s="28" t="n">
        <f aca="false">INDEX('All entries'!$G$16:$G$100,MATCH(LARGE('All entries'!$M$16:$M$100,38),'All entries'!$M$16:$M$100,0))</f>
        <v>15000</v>
      </c>
      <c r="E41" s="29" t="e">
        <f aca="false">INDEX(#ref!,MATCH(LARGE('All entries'!$M$16:$M$100,38),'All entries'!$M$16:$M$100,0))</f>
        <v>#NAME?</v>
      </c>
    </row>
    <row r="42" customFormat="false" ht="15" hidden="false" customHeight="false" outlineLevel="0" collapsed="false">
      <c r="A42" s="27" t="n">
        <v>39</v>
      </c>
      <c r="B42" s="27" t="str">
        <f aca="false">INDEX('All entries'!$A$16:$A$100,MATCH(LARGE('All entries'!$M$16:$M$100,39),'All entries'!$M$16:$M$100,0))</f>
        <v>Alignment</v>
      </c>
      <c r="C42" s="27" t="str">
        <f aca="false">INDEX('All entries'!$B$16:$B$100,MATCH(LARGE('All entries'!$M$16:$M$100,39),'All entries'!$M$16:$M$100,0))</f>
        <v>Constitutional AI, model specs and character training</v>
      </c>
      <c r="D42" s="28" t="n">
        <f aca="false">INDEX('All entries'!$G$16:$G$100,MATCH(LARGE('All entries'!$M$16:$M$100,39),'All entries'!$M$16:$M$100,0))</f>
        <v>15000</v>
      </c>
      <c r="E42" s="29" t="e">
        <f aca="false">INDEX(#ref!,MATCH(LARGE('All entries'!$M$16:$M$100,39),'All entries'!$M$16:$M$100,0))</f>
        <v>#NAME?</v>
      </c>
    </row>
    <row r="43" customFormat="false" ht="15" hidden="false" customHeight="false" outlineLevel="0" collapsed="false">
      <c r="A43" s="27" t="n">
        <v>40</v>
      </c>
      <c r="B43" s="27" t="str">
        <f aca="false">INDEX('All entries'!$A$16:$A$100,MATCH(LARGE('All entries'!$M$16:$M$100,40),'All entries'!$M$16:$M$100,0))</f>
        <v>Community</v>
      </c>
      <c r="C43" s="27" t="str">
        <f aca="false">INDEX('All entries'!$B$16:$B$100,MATCH(LARGE('All entries'!$M$16:$M$100,40),'All entries'!$M$16:$M$100,0))</f>
        <v>Harry Potter and the Methods of Rationality</v>
      </c>
      <c r="D43" s="28" t="n">
        <f aca="false">INDEX('All entries'!$G$16:$G$100,MATCH(LARGE('All entries'!$M$16:$M$100,40),'All entries'!$M$16:$M$100,0))</f>
        <v>15000</v>
      </c>
      <c r="E43" s="29" t="e">
        <f aca="false">INDEX(#ref!,MATCH(LARGE('All entries'!$M$16:$M$100,40),'All entries'!$M$16:$M$100,0))</f>
        <v>#NAME?</v>
      </c>
    </row>
    <row r="44" customFormat="false" ht="15" hidden="false" customHeight="false" outlineLevel="0" collapsed="false">
      <c r="A44" s="27" t="n">
        <v>41</v>
      </c>
      <c r="B44" s="27" t="str">
        <f aca="false">INDEX('All entries'!$A$16:$A$100,MATCH(LARGE('All entries'!$M$16:$M$100,41),'All entries'!$M$16:$M$100,0))</f>
        <v>Community</v>
      </c>
      <c r="C44" s="27" t="str">
        <f aca="false">INDEX('All entries'!$B$16:$B$100,MATCH(LARGE('All entries'!$M$16:$M$100,41),'All entries'!$M$16:$M$100,0))</f>
        <v>Slate Star Codex / Astral Codex Ten as a community hub</v>
      </c>
      <c r="D44" s="28" t="n">
        <f aca="false">INDEX('All entries'!$G$16:$G$100,MATCH(LARGE('All entries'!$M$16:$M$100,41),'All entries'!$M$16:$M$100,0))</f>
        <v>15000</v>
      </c>
      <c r="E44" s="29" t="e">
        <f aca="false">INDEX(#ref!,MATCH(LARGE('All entries'!$M$16:$M$100,41),'All entries'!$M$16:$M$100,0))</f>
        <v>#NAME?</v>
      </c>
    </row>
    <row r="45" customFormat="false" ht="15" hidden="false" customHeight="false" outlineLevel="0" collapsed="false">
      <c r="A45" s="27" t="n">
        <v>42</v>
      </c>
      <c r="B45" s="27" t="str">
        <f aca="false">INDEX('All entries'!$A$16:$A$100,MATCH(LARGE('All entries'!$M$16:$M$100,42),'All entries'!$M$16:$M$100,0))</f>
        <v>Community</v>
      </c>
      <c r="C45" s="27" t="str">
        <f aca="false">INDEX('All entries'!$B$16:$B$100,MATCH(LARGE('All entries'!$M$16:$M$100,42),'All entries'!$M$16:$M$100,0))</f>
        <v>Berkeley rationalist hub and group houses</v>
      </c>
      <c r="D45" s="28" t="n">
        <f aca="false">INDEX('All entries'!$G$16:$G$100,MATCH(LARGE('All entries'!$M$16:$M$100,42),'All entries'!$M$16:$M$100,0))</f>
        <v>15000</v>
      </c>
      <c r="E45" s="29" t="e">
        <f aca="false">INDEX(#ref!,MATCH(LARGE('All entries'!$M$16:$M$100,42),'All entries'!$M$16:$M$100,0))</f>
        <v>#NAME?</v>
      </c>
    </row>
    <row r="46" customFormat="false" ht="26.85" hidden="false" customHeight="false" outlineLevel="0" collapsed="false">
      <c r="A46" s="27" t="n">
        <v>43</v>
      </c>
      <c r="B46" s="27" t="str">
        <f aca="false">INDEX('All entries'!$A$16:$A$100,MATCH(LARGE('All entries'!$M$16:$M$100,43),'All entries'!$M$16:$M$100,0))</f>
        <v>Social shift</v>
      </c>
      <c r="C46" s="27" t="str">
        <f aca="false">INDEX('All entries'!$B$16:$B$100,MATCH(LARGE('All entries'!$M$16:$M$100,43),'All entries'!$M$16:$M$100,0))</f>
        <v>Yoshua Bengio speaks out and reorients his work toward safety</v>
      </c>
      <c r="D46" s="28" t="n">
        <f aca="false">INDEX('All entries'!$G$16:$G$100,MATCH(LARGE('All entries'!$M$16:$M$100,43),'All entries'!$M$16:$M$100,0))</f>
        <v>15000</v>
      </c>
      <c r="E46" s="29" t="e">
        <f aca="false">INDEX(#ref!,MATCH(LARGE('All entries'!$M$16:$M$100,43),'All entries'!$M$16:$M$100,0))</f>
        <v>#NAME?</v>
      </c>
    </row>
    <row r="47" customFormat="false" ht="15" hidden="false" customHeight="false" outlineLevel="0" collapsed="false">
      <c r="A47" s="27" t="n">
        <v>44</v>
      </c>
      <c r="B47" s="27" t="str">
        <f aca="false">INDEX('All entries'!$A$16:$A$100,MATCH(LARGE('All entries'!$M$16:$M$100,44),'All entries'!$M$16:$M$100,0))</f>
        <v>Social shift</v>
      </c>
      <c r="C47" s="27" t="str">
        <f aca="false">INDEX('All entries'!$B$16:$B$100,MATCH(LARGE('All entries'!$M$16:$M$100,44),'All entries'!$M$16:$M$100,0))</f>
        <v>Frontier safety frameworks adopted across labs (RSPs, Preparedness, Frontier Safety Framework, Seoul commitments)</v>
      </c>
      <c r="D47" s="28" t="n">
        <f aca="false">INDEX('All entries'!$G$16:$G$100,MATCH(LARGE('All entries'!$M$16:$M$100,44),'All entries'!$M$16:$M$100,0))</f>
        <v>15000</v>
      </c>
      <c r="E47" s="29" t="e">
        <f aca="false">INDEX(#ref!,MATCH(LARGE('All entries'!$M$16:$M$100,44),'All entries'!$M$16:$M$100,0))</f>
        <v>#NAME?</v>
      </c>
    </row>
    <row r="48" customFormat="false" ht="15" hidden="false" customHeight="false" outlineLevel="0" collapsed="false">
      <c r="A48" s="27" t="n">
        <v>45</v>
      </c>
      <c r="B48" s="27" t="str">
        <f aca="false">INDEX('All entries'!$A$16:$A$100,MATCH(LARGE('All entries'!$M$16:$M$100,45),'All entries'!$M$16:$M$100,0))</f>
        <v>Social shift</v>
      </c>
      <c r="C48" s="27" t="str">
        <f aca="false">INDEX('All entries'!$B$16:$B$100,MATCH(LARGE('All entries'!$M$16:$M$100,45),'All entries'!$M$16:$M$100,0))</f>
        <v>If Anyone Builds It, Everyone Dies becomes a bestseller</v>
      </c>
      <c r="D48" s="28" t="n">
        <f aca="false">INDEX('All entries'!$G$16:$G$100,MATCH(LARGE('All entries'!$M$16:$M$100,45),'All entries'!$M$16:$M$100,0))</f>
        <v>15000</v>
      </c>
      <c r="E48" s="29" t="e">
        <f aca="false">INDEX(#ref!,MATCH(LARGE('All entries'!$M$16:$M$100,45),'All entries'!$M$16:$M$100,0))</f>
        <v>#NAME?</v>
      </c>
    </row>
    <row r="49" customFormat="false" ht="15" hidden="false" customHeight="false" outlineLevel="0" collapsed="false">
      <c r="A49" s="27" t="n">
        <v>46</v>
      </c>
      <c r="B49" s="27" t="str">
        <f aca="false">INDEX('All entries'!$A$16:$A$100,MATCH(LARGE('All entries'!$M$16:$M$100,46),'All entries'!$M$16:$M$100,0))</f>
        <v>Alignment</v>
      </c>
      <c r="C49" s="27" t="str">
        <f aca="false">INDEX('All entries'!$B$16:$B$100,MATCH(LARGE('All entries'!$M$16:$M$100,46),'All entries'!$M$16:$M$100,0))</f>
        <v>Attribution graphs / circuit tracing ('Biology of a Large Language Model')</v>
      </c>
      <c r="D49" s="28" t="n">
        <f aca="false">INDEX('All entries'!$G$16:$G$100,MATCH(LARGE('All entries'!$M$16:$M$100,46),'All entries'!$M$16:$M$100,0))</f>
        <v>12000</v>
      </c>
      <c r="E49" s="29" t="e">
        <f aca="false">INDEX(#ref!,MATCH(LARGE('All entries'!$M$16:$M$100,46),'All entries'!$M$16:$M$100,0))</f>
        <v>#NAME?</v>
      </c>
    </row>
    <row r="50" customFormat="false" ht="15" hidden="false" customHeight="false" outlineLevel="0" collapsed="false">
      <c r="A50" s="27" t="n">
        <v>47</v>
      </c>
      <c r="B50" s="27" t="str">
        <f aca="false">INDEX('All entries'!$A$16:$A$100,MATCH(LARGE('All entries'!$M$16:$M$100,47),'All entries'!$M$16:$M$100,0))</f>
        <v>Alignment</v>
      </c>
      <c r="C50" s="27" t="str">
        <f aca="false">INDEX('All entries'!$B$16:$B$100,MATCH(LARGE('All entries'!$M$16:$M$100,47),'All entries'!$M$16:$M$100,0))</f>
        <v>Debate and scalable oversight</v>
      </c>
      <c r="D50" s="28" t="n">
        <f aca="false">INDEX('All entries'!$G$16:$G$100,MATCH(LARGE('All entries'!$M$16:$M$100,47),'All entries'!$M$16:$M$100,0))</f>
        <v>12000</v>
      </c>
      <c r="E50" s="29" t="e">
        <f aca="false">INDEX(#ref!,MATCH(LARGE('All entries'!$M$16:$M$100,47),'All entries'!$M$16:$M$100,0))</f>
        <v>#NAME?</v>
      </c>
    </row>
    <row r="51" customFormat="false" ht="26.85" hidden="false" customHeight="false" outlineLevel="0" collapsed="false">
      <c r="A51" s="27" t="n">
        <v>48</v>
      </c>
      <c r="B51" s="27" t="str">
        <f aca="false">INDEX('All entries'!$A$16:$A$100,MATCH(LARGE('All entries'!$M$16:$M$100,48),'All entries'!$M$16:$M$100,0))</f>
        <v>Community</v>
      </c>
      <c r="C51" s="27" t="str">
        <f aca="false">INDEX('All entries'!$B$16:$B$100,MATCH(LARGE('All entries'!$M$16:$M$100,48),'All entries'!$M$16:$M$100,0))</f>
        <v>Constellation (Berkeley research center)</v>
      </c>
      <c r="D51" s="28" t="n">
        <f aca="false">INDEX('All entries'!$G$16:$G$100,MATCH(LARGE('All entries'!$M$16:$M$100,48),'All entries'!$M$16:$M$100,0))</f>
        <v>12000</v>
      </c>
      <c r="E51" s="29" t="e">
        <f aca="false">INDEX(#ref!,MATCH(LARGE('All entries'!$M$16:$M$100,48),'All entries'!$M$16:$M$100,0))</f>
        <v>#NAME?</v>
      </c>
    </row>
    <row r="52" customFormat="false" ht="15" hidden="false" customHeight="false" outlineLevel="0" collapsed="false">
      <c r="A52" s="27" t="n">
        <v>49</v>
      </c>
      <c r="B52" s="27" t="str">
        <f aca="false">INDEX('All entries'!$A$16:$A$100,MATCH(LARGE('All entries'!$M$16:$M$100,49),'All entries'!$M$16:$M$100,0))</f>
        <v>Alignment</v>
      </c>
      <c r="C52" s="27" t="str">
        <f aca="false">INDEX('All entries'!$B$16:$B$100,MATCH(LARGE('All entries'!$M$16:$M$100,49),'All entries'!$M$16:$M$100,0))</f>
        <v>RLHF: deep reinforcement learning from human preferences, scaled up in InstructGPT</v>
      </c>
      <c r="D52" s="28" t="n">
        <f aca="false">INDEX('All entries'!$G$16:$G$100,MATCH(LARGE('All entries'!$M$16:$M$100,49),'All entries'!$M$16:$M$100,0))</f>
        <v>10000</v>
      </c>
      <c r="E52" s="29" t="e">
        <f aca="false">INDEX(#ref!,MATCH(LARGE('All entries'!$M$16:$M$100,49),'All entries'!$M$16:$M$100,0))</f>
        <v>#NAME?</v>
      </c>
    </row>
    <row r="53" customFormat="false" ht="15" hidden="false" customHeight="false" outlineLevel="0" collapsed="false">
      <c r="A53" s="27" t="n">
        <v>50</v>
      </c>
      <c r="B53" s="27" t="str">
        <f aca="false">INDEX('All entries'!$A$16:$A$100,MATCH(LARGE('All entries'!$M$16:$M$100,50),'All entries'!$M$16:$M$100,0))</f>
        <v>Alignment</v>
      </c>
      <c r="C53" s="27" t="str">
        <f aca="false">INDEX('All entries'!$B$16:$B$100,MATCH(LARGE('All entries'!$M$16:$M$100,50),'All entries'!$M$16:$M$100,0))</f>
        <v>Alignment auditing: hidden-objective games and auditing agents</v>
      </c>
      <c r="D53" s="28" t="n">
        <f aca="false">INDEX('All entries'!$G$16:$G$100,MATCH(LARGE('All entries'!$M$16:$M$100,50),'All entries'!$M$16:$M$100,0))</f>
        <v>10000</v>
      </c>
      <c r="E53" s="29" t="e">
        <f aca="false">INDEX(#ref!,MATCH(LARGE('All entries'!$M$16:$M$100,50),'All entries'!$M$16:$M$100,0))</f>
        <v>#NAME?</v>
      </c>
    </row>
    <row r="54" customFormat="false" ht="15" hidden="false" customHeight="false" outlineLevel="0" collapsed="false">
      <c r="A54" s="27" t="n">
        <v>51</v>
      </c>
      <c r="B54" s="27" t="str">
        <f aca="false">INDEX('All entries'!$A$16:$A$100,MATCH(LARGE('All entries'!$M$16:$M$100,51),'All entries'!$M$16:$M$100,0))</f>
        <v>Community</v>
      </c>
      <c r="C54" s="27" t="str">
        <f aca="false">INDEX('All entries'!$B$16:$B$100,MATCH(LARGE('All entries'!$M$16:$M$100,51),'All entries'!$M$16:$M$100,0))</f>
        <v>EA Global and EAGx conferences</v>
      </c>
      <c r="D54" s="28" t="n">
        <f aca="false">INDEX('All entries'!$G$16:$G$100,MATCH(LARGE('All entries'!$M$16:$M$100,51),'All entries'!$M$16:$M$100,0))</f>
        <v>10000</v>
      </c>
      <c r="E54" s="29" t="e">
        <f aca="false">INDEX(#ref!,MATCH(LARGE('All entries'!$M$16:$M$100,51),'All entries'!$M$16:$M$100,0))</f>
        <v>#NAME?</v>
      </c>
    </row>
    <row r="55" customFormat="false" ht="15" hidden="false" customHeight="false" outlineLevel="0" collapsed="false">
      <c r="A55" s="27" t="n">
        <v>52</v>
      </c>
      <c r="B55" s="27" t="str">
        <f aca="false">INDEX('All entries'!$A$16:$A$100,MATCH(LARGE('All entries'!$M$16:$M$100,52),'All entries'!$M$16:$M$100,0))</f>
        <v>Community</v>
      </c>
      <c r="C55" s="27" t="str">
        <f aca="false">INDEX('All entries'!$B$16:$B$100,MATCH(LARGE('All entries'!$M$16:$M$100,52),'All entries'!$M$16:$M$100,0))</f>
        <v>BlueDot Impact courses (AI Safety Fundamentals)</v>
      </c>
      <c r="D55" s="28" t="n">
        <f aca="false">INDEX('All entries'!$G$16:$G$100,MATCH(LARGE('All entries'!$M$16:$M$100,52),'All entries'!$M$16:$M$100,0))</f>
        <v>10000</v>
      </c>
      <c r="E55" s="29" t="e">
        <f aca="false">INDEX(#ref!,MATCH(LARGE('All entries'!$M$16:$M$100,52),'All entries'!$M$16:$M$100,0))</f>
        <v>#NAME?</v>
      </c>
    </row>
    <row r="56" customFormat="false" ht="15" hidden="false" customHeight="false" outlineLevel="0" collapsed="false">
      <c r="A56" s="27" t="n">
        <v>53</v>
      </c>
      <c r="B56" s="27" t="str">
        <f aca="false">INDEX('All entries'!$A$16:$A$100,MATCH(LARGE('All entries'!$M$16:$M$100,53),'All entries'!$M$16:$M$100,0))</f>
        <v>Community</v>
      </c>
      <c r="C56" s="27" t="str">
        <f aca="false">INDEX('All entries'!$B$16:$B$100,MATCH(LARGE('All entries'!$M$16:$M$100,53),'All entries'!$M$16:$M$100,0))</f>
        <v>Summer research fellowships (SERI, ERA, CHERI, PIBBSS and similar)</v>
      </c>
      <c r="D56" s="28" t="n">
        <f aca="false">INDEX('All entries'!$G$16:$G$100,MATCH(LARGE('All entries'!$M$16:$M$100,53),'All entries'!$M$16:$M$100,0))</f>
        <v>10000</v>
      </c>
      <c r="E56" s="29" t="e">
        <f aca="false">INDEX(#ref!,MATCH(LARGE('All entries'!$M$16:$M$100,53),'All entries'!$M$16:$M$100,0))</f>
        <v>#NAME?</v>
      </c>
    </row>
    <row r="57" customFormat="false" ht="15" hidden="false" customHeight="false" outlineLevel="0" collapsed="false">
      <c r="A57" s="27" t="n">
        <v>54</v>
      </c>
      <c r="B57" s="27" t="str">
        <f aca="false">INDEX('All entries'!$A$16:$A$100,MATCH(LARGE('All entries'!$M$16:$M$100,54),'All entries'!$M$16:$M$100,0))</f>
        <v>Alignment</v>
      </c>
      <c r="C57" s="27" t="str">
        <f aca="false">INDEX('All entries'!$B$16:$B$100,MATCH(LARGE('All entries'!$M$16:$M$100,54),'All entries'!$M$16:$M$100,0))</f>
        <v>Emergent misalignment</v>
      </c>
      <c r="D57" s="28" t="n">
        <f aca="false">INDEX('All entries'!$G$16:$G$100,MATCH(LARGE('All entries'!$M$16:$M$100,54),'All entries'!$M$16:$M$100,0))</f>
        <v>9000</v>
      </c>
      <c r="E57" s="29" t="e">
        <f aca="false">INDEX(#ref!,MATCH(LARGE('All entries'!$M$16:$M$100,54),'All entries'!$M$16:$M$100,0))</f>
        <v>#NAME?</v>
      </c>
    </row>
    <row r="58" customFormat="false" ht="15" hidden="false" customHeight="false" outlineLevel="0" collapsed="false">
      <c r="A58" s="27" t="n">
        <v>55</v>
      </c>
      <c r="B58" s="27" t="str">
        <f aca="false">INDEX('All entries'!$A$16:$A$100,MATCH(LARGE('All entries'!$M$16:$M$100,55),'All entries'!$M$16:$M$100,0))</f>
        <v>Community</v>
      </c>
      <c r="C58" s="27" t="str">
        <f aca="false">INDEX('All entries'!$B$16:$B$100,MATCH(LARGE('All entries'!$M$16:$M$100,55),'All entries'!$M$16:$M$100,0))</f>
        <v>Lighthaven</v>
      </c>
      <c r="D58" s="28" t="n">
        <f aca="false">INDEX('All entries'!$G$16:$G$100,MATCH(LARGE('All entries'!$M$16:$M$100,55),'All entries'!$M$16:$M$100,0))</f>
        <v>9000</v>
      </c>
      <c r="E58" s="29" t="e">
        <f aca="false">INDEX(#ref!,MATCH(LARGE('All entries'!$M$16:$M$100,55),'All entries'!$M$16:$M$100,0))</f>
        <v>#NAME?</v>
      </c>
    </row>
    <row r="59" customFormat="false" ht="15" hidden="false" customHeight="false" outlineLevel="0" collapsed="false">
      <c r="A59" s="27" t="n">
        <v>56</v>
      </c>
      <c r="B59" s="27" t="str">
        <f aca="false">INDEX('All entries'!$A$16:$A$100,MATCH(LARGE('All entries'!$M$16:$M$100,56),'All entries'!$M$16:$M$100,0))</f>
        <v>Social shift</v>
      </c>
      <c r="C59" s="27" t="str">
        <f aca="false">INDEX('All entries'!$B$16:$B$100,MATCH(LARGE('All entries'!$M$16:$M$100,56),'All entries'!$M$16:$M$100,0))</f>
        <v>Chinese and Western scientists agree on red lines (IDAIS dialogues)</v>
      </c>
      <c r="D59" s="28" t="n">
        <f aca="false">INDEX('All entries'!$G$16:$G$100,MATCH(LARGE('All entries'!$M$16:$M$100,56),'All entries'!$M$16:$M$100,0))</f>
        <v>9000</v>
      </c>
      <c r="E59" s="29" t="e">
        <f aca="false">INDEX(#ref!,MATCH(LARGE('All entries'!$M$16:$M$100,56),'All entries'!$M$16:$M$100,0))</f>
        <v>#NAME?</v>
      </c>
    </row>
    <row r="60" customFormat="false" ht="26.85" hidden="false" customHeight="false" outlineLevel="0" collapsed="false">
      <c r="A60" s="27" t="n">
        <v>57</v>
      </c>
      <c r="B60" s="27" t="str">
        <f aca="false">INDEX('All entries'!$A$16:$A$100,MATCH(LARGE('All entries'!$M$16:$M$100,57),'All entries'!$M$16:$M$100,0))</f>
        <v>Political</v>
      </c>
      <c r="C60" s="27" t="str">
        <f aca="false">INDEX('All entries'!$B$16:$B$100,MATCH(LARGE('All entries'!$M$16:$M$100,57),'All entries'!$M$16:$M$100,0))</f>
        <v>New York RAISE Act</v>
      </c>
      <c r="D60" s="28" t="n">
        <f aca="false">INDEX('All entries'!$G$16:$G$100,MATCH(LARGE('All entries'!$M$16:$M$100,57),'All entries'!$M$16:$M$100,0))</f>
        <v>8000</v>
      </c>
      <c r="E60" s="29" t="e">
        <f aca="false">INDEX(#ref!,MATCH(LARGE('All entries'!$M$16:$M$100,57),'All entries'!$M$16:$M$100,0))</f>
        <v>#NAME?</v>
      </c>
    </row>
    <row r="61" customFormat="false" ht="15" hidden="false" customHeight="false" outlineLevel="0" collapsed="false">
      <c r="A61" s="27" t="n">
        <v>58</v>
      </c>
      <c r="B61" s="27" t="str">
        <f aca="false">INDEX('All entries'!$A$16:$A$100,MATCH(LARGE('All entries'!$M$16:$M$100,58),'All entries'!$M$16:$M$100,0))</f>
        <v>Community</v>
      </c>
      <c r="C61" s="27" t="str">
        <f aca="false">INDEX('All entries'!$B$16:$B$100,MATCH(LARGE('All entries'!$M$16:$M$100,58),'All entries'!$M$16:$M$100,0))</f>
        <v>University AI safety student groups</v>
      </c>
      <c r="D61" s="28" t="n">
        <f aca="false">INDEX('All entries'!$G$16:$G$100,MATCH(LARGE('All entries'!$M$16:$M$100,58),'All entries'!$M$16:$M$100,0))</f>
        <v>8000</v>
      </c>
      <c r="E61" s="29" t="e">
        <f aca="false">INDEX(#ref!,MATCH(LARGE('All entries'!$M$16:$M$100,58),'All entries'!$M$16:$M$100,0))</f>
        <v>#NAME?</v>
      </c>
    </row>
    <row r="62" customFormat="false" ht="15" hidden="false" customHeight="false" outlineLevel="0" collapsed="false">
      <c r="A62" s="27" t="n">
        <v>59</v>
      </c>
      <c r="B62" s="27" t="str">
        <f aca="false">INDEX('All entries'!$A$16:$A$100,MATCH(LARGE('All entries'!$M$16:$M$100,59),'All entries'!$M$16:$M$100,0))</f>
        <v>Social shift</v>
      </c>
      <c r="C62" s="27" t="str">
        <f aca="false">INDEX('All entries'!$B$16:$B$100,MATCH(LARGE('All entries'!$M$16:$M$100,59),'All entries'!$M$16:$M$100,0))</f>
        <v>Bletchley Declaration</v>
      </c>
      <c r="D62" s="28" t="n">
        <f aca="false">INDEX('All entries'!$G$16:$G$100,MATCH(LARGE('All entries'!$M$16:$M$100,59),'All entries'!$M$16:$M$100,0))</f>
        <v>8000</v>
      </c>
      <c r="E62" s="29" t="e">
        <f aca="false">INDEX(#ref!,MATCH(LARGE('All entries'!$M$16:$M$100,59),'All entries'!$M$16:$M$100,0))</f>
        <v>#NAME?</v>
      </c>
    </row>
    <row r="63" customFormat="false" ht="15" hidden="false" customHeight="false" outlineLevel="0" collapsed="false">
      <c r="A63" s="27" t="n">
        <v>60</v>
      </c>
      <c r="B63" s="27" t="str">
        <f aca="false">INDEX('All entries'!$A$16:$A$100,MATCH(LARGE('All entries'!$M$16:$M$100,60),'All entries'!$M$16:$M$100,0))</f>
        <v>Social shift</v>
      </c>
      <c r="C63" s="27" t="str">
        <f aca="false">INDEX('All entries'!$B$16:$B$100,MATCH(LARGE('All entries'!$M$16:$M$100,60),'All entries'!$M$16:$M$100,0))</f>
        <v>Statement on Superintelligence (call to prohibit development until there is scientific consensus and public buy-in)</v>
      </c>
      <c r="D63" s="28" t="n">
        <f aca="false">INDEX('All entries'!$G$16:$G$100,MATCH(LARGE('All entries'!$M$16:$M$100,60),'All entries'!$M$16:$M$100,0))</f>
        <v>8000</v>
      </c>
      <c r="E63" s="29" t="e">
        <f aca="false">INDEX(#ref!,MATCH(LARGE('All entries'!$M$16:$M$100,60),'All entries'!$M$16:$M$100,0))</f>
        <v>#NAME?</v>
      </c>
    </row>
    <row r="64" customFormat="false" ht="15" hidden="false" customHeight="false" outlineLevel="0" collapsed="false">
      <c r="A64" s="27" t="n">
        <v>61</v>
      </c>
      <c r="B64" s="27" t="str">
        <f aca="false">INDEX('All entries'!$A$16:$A$100,MATCH(LARGE('All entries'!$M$16:$M$100,61),'All entries'!$M$16:$M$100,0))</f>
        <v>Social shift</v>
      </c>
      <c r="C64" s="27" t="str">
        <f aca="false">INDEX('All entries'!$B$16:$B$100,MATCH(LARGE('All entries'!$M$16:$M$100,61),'All entries'!$M$16:$M$100,0))</f>
        <v>OpenAI safety departures and the 'right to warn' letter</v>
      </c>
      <c r="D64" s="28" t="n">
        <f aca="false">INDEX('All entries'!$G$16:$G$100,MATCH(LARGE('All entries'!$M$16:$M$100,61),'All entries'!$M$16:$M$100,0))</f>
        <v>8000</v>
      </c>
      <c r="E64" s="29" t="e">
        <f aca="false">INDEX(#ref!,MATCH(LARGE('All entries'!$M$16:$M$100,61),'All entries'!$M$16:$M$100,0))</f>
        <v>#NAME?</v>
      </c>
    </row>
    <row r="65" customFormat="false" ht="15" hidden="false" customHeight="false" outlineLevel="0" collapsed="false">
      <c r="A65" s="27" t="n">
        <v>62</v>
      </c>
      <c r="B65" s="27" t="str">
        <f aca="false">INDEX('All entries'!$A$16:$A$100,MATCH(LARGE('All entries'!$M$16:$M$100,62),'All entries'!$M$16:$M$100,0))</f>
        <v>Social shift</v>
      </c>
      <c r="C65" s="27" t="str">
        <f aca="false">INDEX('All entries'!$B$16:$B$100,MATCH(LARGE('All entries'!$M$16:$M$100,62),'All entries'!$M$16:$M$100,0))</f>
        <v>Lab CEOs acknowledge extinction risk in Senate testimony</v>
      </c>
      <c r="D65" s="28" t="n">
        <f aca="false">INDEX('All entries'!$G$16:$G$100,MATCH(LARGE('All entries'!$M$16:$M$100,62),'All entries'!$M$16:$M$100,0))</f>
        <v>8000</v>
      </c>
      <c r="E65" s="29" t="e">
        <f aca="false">INDEX(#ref!,MATCH(LARGE('All entries'!$M$16:$M$100,62),'All entries'!$M$16:$M$100,0))</f>
        <v>#NAME?</v>
      </c>
    </row>
    <row r="66" customFormat="false" ht="15" hidden="false" customHeight="false" outlineLevel="0" collapsed="false">
      <c r="A66" s="27" t="n">
        <v>63</v>
      </c>
      <c r="B66" s="27" t="str">
        <f aca="false">INDEX('All entries'!$A$16:$A$100,MATCH(LARGE('All entries'!$M$16:$M$100,63),'All entries'!$M$16:$M$100,0))</f>
        <v>Social shift</v>
      </c>
      <c r="C66" s="27" t="str">
        <f aca="false">INDEX('All entries'!$B$16:$B$100,MATCH(LARGE('All entries'!$M$16:$M$100,63),'All entries'!$M$16:$M$100,0))</f>
        <v>Expert surveys show substantial extinction estimates (AI Impacts)</v>
      </c>
      <c r="D66" s="28" t="n">
        <f aca="false">INDEX('All entries'!$G$16:$G$100,MATCH(LARGE('All entries'!$M$16:$M$100,63),'All entries'!$M$16:$M$100,0))</f>
        <v>8000</v>
      </c>
      <c r="E66" s="29" t="e">
        <f aca="false">INDEX(#ref!,MATCH(LARGE('All entries'!$M$16:$M$100,63),'All entries'!$M$16:$M$100,0))</f>
        <v>#NAME?</v>
      </c>
    </row>
    <row r="67" customFormat="false" ht="15" hidden="false" customHeight="false" outlineLevel="0" collapsed="false">
      <c r="A67" s="27" t="n">
        <v>64</v>
      </c>
      <c r="B67" s="27" t="str">
        <f aca="false">INDEX('All entries'!$A$16:$A$100,MATCH(LARGE('All entries'!$M$16:$M$100,64),'All entries'!$M$16:$M$100,0))</f>
        <v>Alignment</v>
      </c>
      <c r="C67" s="27" t="str">
        <f aca="false">INDEX('All entries'!$B$16:$B$100,MATCH(LARGE('All entries'!$M$16:$M$100,64),'All entries'!$M$16:$M$100,0))</f>
        <v>Representation engineering, steering vectors and persona vectors</v>
      </c>
      <c r="D67" s="28" t="n">
        <f aca="false">INDEX('All entries'!$G$16:$G$100,MATCH(LARGE('All entries'!$M$16:$M$100,64),'All entries'!$M$16:$M$100,0))</f>
        <v>7000</v>
      </c>
      <c r="E67" s="29" t="e">
        <f aca="false">INDEX(#ref!,MATCH(LARGE('All entries'!$M$16:$M$100,64),'All entries'!$M$16:$M$100,0))</f>
        <v>#NAME?</v>
      </c>
    </row>
    <row r="68" customFormat="false" ht="15" hidden="false" customHeight="false" outlineLevel="0" collapsed="false">
      <c r="A68" s="27" t="n">
        <v>65</v>
      </c>
      <c r="B68" s="27" t="str">
        <f aca="false">INDEX('All entries'!$A$16:$A$100,MATCH(LARGE('All entries'!$M$16:$M$100,65),'All entries'!$M$16:$M$100,0))</f>
        <v>Social shift</v>
      </c>
      <c r="C68" s="27" t="str">
        <f aca="false">INDEX('All entries'!$B$16:$B$100,MATCH(LARGE('All entries'!$M$16:$M$100,65),'All entries'!$M$16:$M$100,0))</f>
        <v>FLI 'pause giant AI experiments' letter</v>
      </c>
      <c r="D68" s="28" t="n">
        <f aca="false">INDEX('All entries'!$G$16:$G$100,MATCH(LARGE('All entries'!$M$16:$M$100,65),'All entries'!$M$16:$M$100,0))</f>
        <v>7000</v>
      </c>
      <c r="E68" s="29" t="e">
        <f aca="false">INDEX(#ref!,MATCH(LARGE('All entries'!$M$16:$M$100,65),'All entries'!$M$16:$M$100,0))</f>
        <v>#NAME?</v>
      </c>
    </row>
    <row r="69" customFormat="false" ht="15" hidden="false" customHeight="false" outlineLevel="0" collapsed="false">
      <c r="A69" s="27" t="n">
        <v>66</v>
      </c>
      <c r="B69" s="27" t="str">
        <f aca="false">INDEX('All entries'!$A$16:$A$100,MATCH(LARGE('All entries'!$M$16:$M$100,66),'All entries'!$M$16:$M$100,0))</f>
        <v>Alignment</v>
      </c>
      <c r="C69" s="27" t="str">
        <f aca="false">INDEX('All entries'!$B$16:$B$100,MATCH(LARGE('All entries'!$M$16:$M$100,66),'All entries'!$M$16:$M$100,0))</f>
        <v>Weak-to-strong generalization</v>
      </c>
      <c r="D69" s="28" t="n">
        <f aca="false">INDEX('All entries'!$G$16:$G$100,MATCH(LARGE('All entries'!$M$16:$M$100,66),'All entries'!$M$16:$M$100,0))</f>
        <v>6000</v>
      </c>
      <c r="E69" s="29" t="e">
        <f aca="false">INDEX(#ref!,MATCH(LARGE('All entries'!$M$16:$M$100,66),'All entries'!$M$16:$M$100,0))</f>
        <v>#NAME?</v>
      </c>
    </row>
    <row r="70" customFormat="false" ht="15" hidden="false" customHeight="false" outlineLevel="0" collapsed="false">
      <c r="A70" s="27" t="n">
        <v>67</v>
      </c>
      <c r="B70" s="27" t="str">
        <f aca="false">INDEX('All entries'!$A$16:$A$100,MATCH(LARGE('All entries'!$M$16:$M$100,67),'All entries'!$M$16:$M$100,0))</f>
        <v>Social shift</v>
      </c>
      <c r="C70" s="27" t="str">
        <f aca="false">INDEX('All entries'!$B$16:$B$100,MATCH(LARGE('All entries'!$M$16:$M$100,67),'All entries'!$M$16:$M$100,0))</f>
        <v>Hinton's Nobel Prize amplifies his warnings</v>
      </c>
      <c r="D70" s="28" t="n">
        <f aca="false">INDEX('All entries'!$G$16:$G$100,MATCH(LARGE('All entries'!$M$16:$M$100,67),'All entries'!$M$16:$M$100,0))</f>
        <v>6000</v>
      </c>
      <c r="E70" s="29" t="e">
        <f aca="false">INDEX(#ref!,MATCH(LARGE('All entries'!$M$16:$M$100,67),'All entries'!$M$16:$M$100,0))</f>
        <v>#NAME?</v>
      </c>
    </row>
    <row r="71" customFormat="false" ht="15" hidden="false" customHeight="false" outlineLevel="0" collapsed="false">
      <c r="A71" s="27" t="n">
        <v>68</v>
      </c>
      <c r="B71" s="27" t="str">
        <f aca="false">INDEX('All entries'!$A$16:$A$100,MATCH(LARGE('All entries'!$M$16:$M$100,68),'All entries'!$M$16:$M$100,0))</f>
        <v>Political</v>
      </c>
      <c r="C71" s="27" t="str">
        <f aca="false">INDEX('All entries'!$B$16:$B$100,MATCH(LARGE('All entries'!$M$16:$M$100,68),'All entries'!$M$16:$M$100,0))</f>
        <v>UN Independent International Scientific Panel on AI and Global Dialogue</v>
      </c>
      <c r="D71" s="28" t="n">
        <f aca="false">INDEX('All entries'!$G$16:$G$100,MATCH(LARGE('All entries'!$M$16:$M$100,68),'All entries'!$M$16:$M$100,0))</f>
        <v>5000</v>
      </c>
      <c r="E71" s="29" t="e">
        <f aca="false">INDEX(#ref!,MATCH(LARGE('All entries'!$M$16:$M$100,68),'All entries'!$M$16:$M$100,0))</f>
        <v>#NAME?</v>
      </c>
    </row>
    <row r="72" customFormat="false" ht="15" hidden="false" customHeight="false" outlineLevel="0" collapsed="false">
      <c r="A72" s="27" t="n">
        <v>69</v>
      </c>
      <c r="B72" s="27" t="str">
        <f aca="false">INDEX('All entries'!$A$16:$A$100,MATCH(LARGE('All entries'!$M$16:$M$100,69),'All entries'!$M$16:$M$100,0))</f>
        <v>Alignment</v>
      </c>
      <c r="C72" s="27" t="str">
        <f aca="false">INDEX('All entries'!$B$16:$B$100,MATCH(LARGE('All entries'!$M$16:$M$100,69),'All entries'!$M$16:$M$100,0))</f>
        <v>Persona selection model and inoculation prompting</v>
      </c>
      <c r="D72" s="28" t="n">
        <f aca="false">INDEX('All entries'!$G$16:$G$100,MATCH(LARGE('All entries'!$M$16:$M$100,69),'All entries'!$M$16:$M$100,0))</f>
        <v>5000</v>
      </c>
      <c r="E72" s="29" t="e">
        <f aca="false">INDEX(#ref!,MATCH(LARGE('All entries'!$M$16:$M$100,69),'All entries'!$M$16:$M$100,0))</f>
        <v>#NAME?</v>
      </c>
    </row>
    <row r="73" customFormat="false" ht="15" hidden="false" customHeight="false" outlineLevel="0" collapsed="false">
      <c r="A73" s="27" t="n">
        <v>70</v>
      </c>
      <c r="B73" s="27" t="str">
        <f aca="false">INDEX('All entries'!$A$16:$A$100,MATCH(LARGE('All entries'!$M$16:$M$100,70),'All entries'!$M$16:$M$100,0))</f>
        <v>Community</v>
      </c>
      <c r="C73" s="27" t="str">
        <f aca="false">INDEX('All entries'!$B$16:$B$100,MATCH(LARGE('All entries'!$M$16:$M$100,70),'All entries'!$M$16:$M$100,0))</f>
        <v>CFAR workshops and alumni network</v>
      </c>
      <c r="D73" s="28" t="n">
        <f aca="false">INDEX('All entries'!$G$16:$G$100,MATCH(LARGE('All entries'!$M$16:$M$100,70),'All entries'!$M$16:$M$100,0))</f>
        <v>5000</v>
      </c>
      <c r="E73" s="29" t="e">
        <f aca="false">INDEX(#ref!,MATCH(LARGE('All entries'!$M$16:$M$100,70),'All entries'!$M$16:$M$100,0))</f>
        <v>#NAME?</v>
      </c>
    </row>
    <row r="74" customFormat="false" ht="15" hidden="false" customHeight="false" outlineLevel="0" collapsed="false">
      <c r="A74" s="27" t="n">
        <v>71</v>
      </c>
      <c r="B74" s="27" t="str">
        <f aca="false">INDEX('All entries'!$A$16:$A$100,MATCH(LARGE('All entries'!$M$16:$M$100,71),'All entries'!$M$16:$M$100,0))</f>
        <v>Social shift</v>
      </c>
      <c r="C74" s="27" t="str">
        <f aca="false">INDEX('All entries'!$B$16:$B$100,MATCH(LARGE('All entries'!$M$16:$M$100,71),'All entries'!$M$16:$M$100,0))</f>
        <v>International AI Safety Report</v>
      </c>
      <c r="D74" s="28" t="n">
        <f aca="false">INDEX('All entries'!$G$16:$G$100,MATCH(LARGE('All entries'!$M$16:$M$100,71),'All entries'!$M$16:$M$100,0))</f>
        <v>5000</v>
      </c>
      <c r="E74" s="29" t="e">
        <f aca="false">INDEX(#ref!,MATCH(LARGE('All entries'!$M$16:$M$100,71),'All entries'!$M$16:$M$100,0))</f>
        <v>#NAME?</v>
      </c>
    </row>
    <row r="75" customFormat="false" ht="15" hidden="false" customHeight="false" outlineLevel="0" collapsed="false">
      <c r="A75" s="27" t="n">
        <v>72</v>
      </c>
      <c r="B75" s="27" t="str">
        <f aca="false">INDEX('All entries'!$A$16:$A$100,MATCH(LARGE('All entries'!$M$16:$M$100,72),'All entries'!$M$16:$M$100,0))</f>
        <v>Social shift</v>
      </c>
      <c r="C75" s="27" t="str">
        <f aca="false">INDEX('All entries'!$B$16:$B$100,MATCH(LARGE('All entries'!$M$16:$M$100,72),'All entries'!$M$16:$M$100,0))</f>
        <v>White House voluntary commitments</v>
      </c>
      <c r="D75" s="28" t="n">
        <f aca="false">INDEX('All entries'!$G$16:$G$100,MATCH(LARGE('All entries'!$M$16:$M$100,72),'All entries'!$M$16:$M$100,0))</f>
        <v>5000</v>
      </c>
      <c r="E75" s="29" t="e">
        <f aca="false">INDEX(#ref!,MATCH(LARGE('All entries'!$M$16:$M$100,72),'All entries'!$M$16:$M$100,0))</f>
        <v>#NAME?</v>
      </c>
    </row>
    <row r="76" customFormat="false" ht="15" hidden="false" customHeight="false" outlineLevel="0" collapsed="false">
      <c r="A76" s="27" t="n">
        <v>73</v>
      </c>
      <c r="B76" s="27" t="str">
        <f aca="false">INDEX('All entries'!$A$16:$A$100,MATCH(LARGE('All entries'!$M$16:$M$100,73),'All entries'!$M$16:$M$100,0))</f>
        <v>Alignment</v>
      </c>
      <c r="C76" s="27" t="str">
        <f aca="false">INDEX('All entries'!$B$16:$B$100,MATCH(LARGE('All entries'!$M$16:$M$100,73),'All entries'!$M$16:$M$100,0))</f>
        <v>J-Lens / global workspace paper</v>
      </c>
      <c r="D76" s="28" t="n">
        <f aca="false">INDEX('All entries'!$G$16:$G$100,MATCH(LARGE('All entries'!$M$16:$M$100,73),'All entries'!$M$16:$M$100,0))</f>
        <v>4000</v>
      </c>
      <c r="E76" s="29" t="e">
        <f aca="false">INDEX(#ref!,MATCH(LARGE('All entries'!$M$16:$M$100,73),'All entries'!$M$16:$M$100,0))</f>
        <v>#NAME?</v>
      </c>
    </row>
    <row r="77" customFormat="false" ht="15" hidden="false" customHeight="false" outlineLevel="0" collapsed="false">
      <c r="A77" s="27" t="n">
        <v>74</v>
      </c>
      <c r="B77" s="27" t="str">
        <f aca="false">INDEX('All entries'!$A$16:$A$100,MATCH(LARGE('All entries'!$M$16:$M$100,74),'All entries'!$M$16:$M$100,0))</f>
        <v>Community</v>
      </c>
      <c r="C77" s="27" t="str">
        <f aca="false">INDEX('All entries'!$B$16:$B$100,MATCH(LARGE('All entries'!$M$16:$M$100,74),'All entries'!$M$16:$M$100,0))</f>
        <v>AI Safety Camp</v>
      </c>
      <c r="D77" s="28" t="n">
        <f aca="false">INDEX('All entries'!$G$16:$G$100,MATCH(LARGE('All entries'!$M$16:$M$100,74),'All entries'!$M$16:$M$100,0))</f>
        <v>4000</v>
      </c>
      <c r="E77" s="29" t="e">
        <f aca="false">INDEX(#ref!,MATCH(LARGE('All entries'!$M$16:$M$100,74),'All entries'!$M$16:$M$100,0))</f>
        <v>#NAME?</v>
      </c>
    </row>
    <row r="78" customFormat="false" ht="15" hidden="false" customHeight="false" outlineLevel="0" collapsed="false">
      <c r="A78" s="27" t="n">
        <v>75</v>
      </c>
      <c r="B78" s="27" t="str">
        <f aca="false">INDEX('All entries'!$A$16:$A$100,MATCH(LARGE('All entries'!$M$16:$M$100,75),'All entries'!$M$16:$M$100,0))</f>
        <v>Social shift</v>
      </c>
      <c r="C78" s="27" t="str">
        <f aca="false">INDEX('All entries'!$B$16:$B$100,MATCH(LARGE('All entries'!$M$16:$M$100,75),'All entries'!$M$16:$M$100,0))</f>
        <v>Pope Leo XIV makes AI a signature issue</v>
      </c>
      <c r="D78" s="28" t="n">
        <f aca="false">INDEX('All entries'!$G$16:$G$100,MATCH(LARGE('All entries'!$M$16:$M$100,75),'All entries'!$M$16:$M$100,0))</f>
        <v>4000</v>
      </c>
      <c r="E78" s="29" t="e">
        <f aca="false">INDEX(#ref!,MATCH(LARGE('All entries'!$M$16:$M$100,75),'All entries'!$M$16:$M$100,0))</f>
        <v>#NAME?</v>
      </c>
    </row>
    <row r="79" customFormat="false" ht="15" hidden="false" customHeight="false" outlineLevel="0" collapsed="false">
      <c r="A79" s="27" t="n">
        <v>76</v>
      </c>
      <c r="B79" s="27" t="str">
        <f aca="false">INDEX('All entries'!$A$16:$A$100,MATCH(LARGE('All entries'!$M$16:$M$100,76),'All entries'!$M$16:$M$100,0))</f>
        <v>Community</v>
      </c>
      <c r="C79" s="27" t="str">
        <f aca="false">INDEX('All entries'!$B$16:$B$100,MATCH(LARGE('All entries'!$M$16:$M$100,76),'All entries'!$M$16:$M$100,0))</f>
        <v>LISA (London Initiative for Safe AI)</v>
      </c>
      <c r="D79" s="28" t="n">
        <f aca="false">INDEX('All entries'!$G$16:$G$100,MATCH(LARGE('All entries'!$M$16:$M$100,76),'All entries'!$M$16:$M$100,0))</f>
        <v>3000</v>
      </c>
      <c r="E79" s="29" t="e">
        <f aca="false">INDEX(#ref!,MATCH(LARGE('All entries'!$M$16:$M$100,76),'All entries'!$M$16:$M$100,0))</f>
        <v>#NAME?</v>
      </c>
    </row>
    <row r="80" customFormat="false" ht="26.85" hidden="false" customHeight="false" outlineLevel="0" collapsed="false">
      <c r="A80" s="27" t="n">
        <v>77</v>
      </c>
      <c r="B80" s="27" t="str">
        <f aca="false">INDEX('All entries'!$A$16:$A$100,MATCH(LARGE('All entries'!$M$16:$M$100,77),'All entries'!$M$16:$M$100,0))</f>
        <v>Generic: lab point</v>
      </c>
      <c r="C80" s="27" t="str">
        <f aca="false">INDEX('All entries'!$B$16:$B$100,MATCH(LARGE('All entries'!$M$16:$M$100,77),'All entries'!$M$16:$M$100,0))</f>
        <v>OpenAI or Anthropic becomes 1 point more alignment-pilled (0 = NVIDIA, 100 = Anthropic)</v>
      </c>
      <c r="D80" s="28" t="n">
        <f aca="false">INDEX('All entries'!$G$16:$G$100,MATCH(LARGE('All entries'!$M$16:$M$100,77),'All entries'!$M$16:$M$100,0))</f>
        <v>3000</v>
      </c>
      <c r="E80" s="29" t="e">
        <f aca="false">INDEX(#ref!,MATCH(LARGE('All entries'!$M$16:$M$100,77),'All entries'!$M$16:$M$100,0))</f>
        <v>#NAME?</v>
      </c>
    </row>
    <row r="81" customFormat="false" ht="15" hidden="false" customHeight="false" outlineLevel="0" collapsed="false">
      <c r="A81" s="27" t="n">
        <v>78</v>
      </c>
      <c r="B81" s="27" t="str">
        <f aca="false">INDEX('All entries'!$A$16:$A$100,MATCH(LARGE('All entries'!$M$16:$M$100,78),'All entries'!$M$16:$M$100,0))</f>
        <v>Community</v>
      </c>
      <c r="C81" s="27" t="str">
        <f aca="false">INDEX('All entries'!$B$16:$B$100,MATCH(LARGE('All entries'!$M$16:$M$100,78),'All entries'!$M$16:$M$100,0))</f>
        <v>SSC/ACX meetups worldwide</v>
      </c>
      <c r="D81" s="28" t="n">
        <f aca="false">INDEX('All entries'!$G$16:$G$100,MATCH(LARGE('All entries'!$M$16:$M$100,78),'All entries'!$M$16:$M$100,0))</f>
        <v>2500</v>
      </c>
      <c r="E81" s="29" t="e">
        <f aca="false">INDEX(#ref!,MATCH(LARGE('All entries'!$M$16:$M$100,78),'All entries'!$M$16:$M$100,0))</f>
        <v>#NAME?</v>
      </c>
    </row>
    <row r="82" customFormat="false" ht="15" hidden="false" customHeight="false" outlineLevel="0" collapsed="false">
      <c r="A82" s="27" t="n">
        <v>79</v>
      </c>
      <c r="B82" s="27" t="str">
        <f aca="false">INDEX('All entries'!$A$16:$A$100,MATCH(LARGE('All entries'!$M$16:$M$100,79),'All entries'!$M$16:$M$100,0))</f>
        <v>Alignment</v>
      </c>
      <c r="C82" s="27" t="str">
        <f aca="false">INDEX('All entries'!$B$16:$B$100,MATCH(LARGE('All entries'!$M$16:$M$100,79),'All entries'!$M$16:$M$100,0))</f>
        <v>Natural abstractions and selection theorems</v>
      </c>
      <c r="D82" s="28" t="n">
        <f aca="false">INDEX('All entries'!$G$16:$G$100,MATCH(LARGE('All entries'!$M$16:$M$100,79),'All entries'!$M$16:$M$100,0))</f>
        <v>2000</v>
      </c>
      <c r="E82" s="29" t="e">
        <f aca="false">INDEX(#ref!,MATCH(LARGE('All entries'!$M$16:$M$100,79),'All entries'!$M$16:$M$100,0))</f>
        <v>#NAME?</v>
      </c>
    </row>
    <row r="83" customFormat="false" ht="15" hidden="false" customHeight="false" outlineLevel="0" collapsed="false">
      <c r="A83" s="27" t="n">
        <v>80</v>
      </c>
      <c r="B83" s="27" t="str">
        <f aca="false">INDEX('All entries'!$A$16:$A$100,MATCH(LARGE('All entries'!$M$16:$M$100,80),'All entries'!$M$16:$M$100,0))</f>
        <v>Alignment</v>
      </c>
      <c r="C83" s="27" t="str">
        <f aca="false">INDEX('All entries'!$B$16:$B$100,MATCH(LARGE('All entries'!$M$16:$M$100,80),'All entries'!$M$16:$M$100,0))</f>
        <v>Learning-theoretic agenda / infra-Bayesianism</v>
      </c>
      <c r="D83" s="28" t="n">
        <f aca="false">INDEX('All entries'!$G$16:$G$100,MATCH(LARGE('All entries'!$M$16:$M$100,80),'All entries'!$M$16:$M$100,0))</f>
        <v>1200</v>
      </c>
      <c r="E83" s="29" t="e">
        <f aca="false">INDEX(#ref!,MATCH(LARGE('All entries'!$M$16:$M$100,80),'All entries'!$M$16:$M$100,0))</f>
        <v>#NAME?</v>
      </c>
    </row>
    <row r="84" customFormat="false" ht="26.85" hidden="false" customHeight="false" outlineLevel="0" collapsed="false">
      <c r="A84" s="27" t="n">
        <v>81</v>
      </c>
      <c r="B84" s="27" t="str">
        <f aca="false">INDEX('All entries'!$A$16:$A$100,MATCH(LARGE('All entries'!$M$16:$M$100,81),'All entries'!$M$16:$M$100,0))</f>
        <v>Generic: PERCYs</v>
      </c>
      <c r="C84" s="27" t="str">
        <f aca="false">INDEX('All entries'!$B$16:$B$100,MATCH(LARGE('All entries'!$M$16:$M$100,81),'All entries'!$M$16:$M$100,0))</f>
        <v>One million PERCYs</v>
      </c>
      <c r="D84" s="28" t="n">
        <f aca="false">INDEX('All entries'!$G$16:$G$100,MATCH(LARGE('All entries'!$M$16:$M$100,81),'All entries'!$M$16:$M$100,0))</f>
        <v>1200</v>
      </c>
      <c r="E84" s="29" t="e">
        <f aca="false">INDEX(#ref!,MATCH(LARGE('All entries'!$M$16:$M$100,81),'All entries'!$M$16:$M$100,0))</f>
        <v>#NAME?</v>
      </c>
    </row>
    <row r="85" customFormat="false" ht="15" hidden="false" customHeight="false" outlineLevel="0" collapsed="false">
      <c r="A85" s="27" t="n">
        <v>82</v>
      </c>
      <c r="B85" s="27" t="str">
        <f aca="false">INDEX('All entries'!$A$16:$A$100,MATCH(LARGE('All entries'!$M$16:$M$100,82),'All entries'!$M$16:$M$100,0))</f>
        <v>Community</v>
      </c>
      <c r="C85" s="27" t="str">
        <f aca="false">INDEX('All entries'!$B$16:$B$100,MATCH(LARGE('All entries'!$M$16:$M$100,82),'All entries'!$M$16:$M$100,0))</f>
        <v>Manifest and the Manifold community</v>
      </c>
      <c r="D85" s="28" t="n">
        <f aca="false">INDEX('All entries'!$G$16:$G$100,MATCH(LARGE('All entries'!$M$16:$M$100,82),'All entries'!$M$16:$M$100,0))</f>
        <v>1000</v>
      </c>
      <c r="E85" s="29" t="e">
        <f aca="false">INDEX(#ref!,MATCH(LARGE('All entries'!$M$16:$M$100,82),'All entries'!$M$16:$M$100,0))</f>
        <v>#NAME?</v>
      </c>
    </row>
    <row r="86" customFormat="false" ht="26.85" hidden="false" customHeight="false" outlineLevel="0" collapsed="false">
      <c r="A86" s="27" t="n">
        <v>83</v>
      </c>
      <c r="B86" s="27" t="str">
        <f aca="false">INDEX('All entries'!$A$16:$A$100,MATCH(LARGE('All entries'!$M$16:$M$100,83),'All entries'!$M$16:$M$100,0))</f>
        <v>Generic: policy-year</v>
      </c>
      <c r="C86" s="27" t="str">
        <f aca="false">INDEX('All entries'!$B$16:$B$100,MATCH(LARGE('All entries'!$M$16:$M$100,83),'All entries'!$M$16:$M$100,0))</f>
        <v>One person-year of a skilled, safety-minded professional in a government AI role</v>
      </c>
      <c r="D86" s="28" t="n">
        <f aca="false">INDEX('All entries'!$G$16:$G$100,MATCH(LARGE('All entries'!$M$16:$M$100,83),'All entries'!$M$16:$M$100,0))</f>
        <v>100</v>
      </c>
      <c r="E86" s="29" t="e">
        <f aca="false">INDEX(#ref!,MATCH(LARGE('All entries'!$M$16:$M$100,83),'All entries'!$M$16:$M$100,0))</f>
        <v>#NAME?</v>
      </c>
    </row>
    <row r="87" customFormat="false" ht="39.55" hidden="false" customHeight="false" outlineLevel="0" collapsed="false">
      <c r="A87" s="27" t="n">
        <v>84</v>
      </c>
      <c r="B87" s="27" t="str">
        <f aca="false">INDEX('All entries'!$A$16:$A$100,MATCH(LARGE('All entries'!$M$16:$M$100,84),'All entries'!$M$16:$M$100,0))</f>
        <v>Generic: researcher-year</v>
      </c>
      <c r="C87" s="27" t="str">
        <f aca="false">INDEX('All entries'!$B$16:$B$100,MATCH(LARGE('All entries'!$M$16:$M$100,84),'All entries'!$M$16:$M$100,0))</f>
        <v>One extra alignment-researcher-year (marginal MATS graduate)</v>
      </c>
      <c r="D87" s="28" t="n">
        <f aca="false">INDEX('All entries'!$G$16:$G$100,MATCH(LARGE('All entries'!$M$16:$M$100,84),'All entries'!$M$16:$M$100,0))</f>
        <v>50</v>
      </c>
      <c r="E87" s="29" t="e">
        <f aca="false">INDEX(#ref!,MATCH(LARGE('All entries'!$M$16:$M$100,84),'All entries'!$M$16:$M$100,0))</f>
        <v>#NAME?</v>
      </c>
    </row>
    <row r="88" customFormat="false" ht="15" hidden="false" customHeight="false" outlineLevel="0" collapsed="false">
      <c r="A88" s="27" t="n">
        <v>85</v>
      </c>
      <c r="B88" s="27" t="str">
        <f aca="false">INDEX('All entries'!$A$16:$A$100,MATCH(LARGE('All entries'!$M$16:$M$100,85),'All entries'!$M$16:$M$100,0))</f>
        <v>Social shift</v>
      </c>
      <c r="C88" s="27" t="str">
        <f aca="false">INDEX('All entries'!$B$16:$B$100,MATCH(LARGE('All entries'!$M$16:$M$100,85),'All entries'!$M$16:$M$100,0))</f>
        <v>OpenAI board crisis</v>
      </c>
      <c r="D88" s="28" t="n">
        <f aca="false">INDEX('All entries'!$G$16:$G$100,MATCH(LARGE('All entries'!$M$16:$M$100,85),'All entries'!$M$16:$M$100,0))</f>
        <v>-7000</v>
      </c>
      <c r="E88" s="29" t="e">
        <f aca="false">INDEX(#ref!,MATCH(LARGE('All entries'!$M$16:$M$100,85),'All entries'!$M$16:$M$100,0))</f>
        <v>#NAME?</v>
      </c>
    </row>
  </sheetData>
  <conditionalFormatting sqref="A4:E88">
    <cfRule type="expression" priority="2" aboveAverage="0" equalAverage="0" bottom="0" percent="0" rank="0" text="" dxfId="16">
      <formula>$B4="Political"</formula>
    </cfRule>
    <cfRule type="expression" priority="3" aboveAverage="0" equalAverage="0" bottom="0" percent="0" rank="0" text="" dxfId="17">
      <formula>$B4="Alignment"</formula>
    </cfRule>
    <cfRule type="expression" priority="4" aboveAverage="0" equalAverage="0" bottom="0" percent="0" rank="0" text="" dxfId="18">
      <formula>$B4="Community"</formula>
    </cfRule>
    <cfRule type="expression" priority="5" aboveAverage="0" equalAverage="0" bottom="0" percent="0" rank="0" text="" dxfId="19">
      <formula>$B4="Social shift"</formula>
    </cfRule>
    <cfRule type="expression" priority="6" aboveAverage="0" equalAverage="0" bottom="0" percent="0" rank="0" text="" dxfId="20">
      <formula>$B4="Generic: PERCYs"</formula>
    </cfRule>
    <cfRule type="expression" priority="7" aboveAverage="0" equalAverage="0" bottom="0" percent="0" rank="0" text="" dxfId="20">
      <formula>$B4="Generic: $1B to grantmaker"</formula>
    </cfRule>
    <cfRule type="expression" priority="8" aboveAverage="0" equalAverage="0" bottom="0" percent="0" rank="0" text="" dxfId="20">
      <formula>$B4="Generic: researcher-year"</formula>
    </cfRule>
    <cfRule type="expression" priority="9" aboveAverage="0" equalAverage="0" bottom="0" percent="0" rank="0" text="" dxfId="20">
      <formula>$B4="Generic: policy-year"</formula>
    </cfRule>
    <cfRule type="expression" priority="10" aboveAverage="0" equalAverage="0" bottom="0" percent="0" rank="0" text="" dxfId="20">
      <formula>$B4="Generic: lab point"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10"/>
  </cols>
  <sheetData>
    <row r="1" customFormat="false" ht="26.85" hidden="false" customHeight="false" outlineLevel="0" collapsed="false">
      <c r="A1" s="30" t="s">
        <v>238</v>
      </c>
      <c r="B1" s="31" t="s">
        <v>239</v>
      </c>
    </row>
    <row r="2" customFormat="false" ht="52.2" hidden="false" customHeight="false" outlineLevel="0" collapsed="false">
      <c r="A2" s="30" t="s">
        <v>240</v>
      </c>
      <c r="B2" s="31" t="s">
        <v>241</v>
      </c>
    </row>
    <row r="3" customFormat="false" ht="15" hidden="false" customHeight="false" outlineLevel="0" collapsed="false">
      <c r="A3" s="30" t="s">
        <v>242</v>
      </c>
      <c r="B3" s="31" t="s">
        <v>243</v>
      </c>
    </row>
    <row r="4" customFormat="false" ht="15" hidden="false" customHeight="false" outlineLevel="0" collapsed="false">
      <c r="A4" s="30" t="s">
        <v>244</v>
      </c>
      <c r="B4" s="31" t="s">
        <v>245</v>
      </c>
    </row>
    <row r="5" customFormat="false" ht="26.85" hidden="false" customHeight="false" outlineLevel="0" collapsed="false">
      <c r="A5" s="30" t="s">
        <v>246</v>
      </c>
      <c r="B5" s="31" t="s">
        <v>247</v>
      </c>
    </row>
    <row r="6" customFormat="false" ht="26.85" hidden="false" customHeight="false" outlineLevel="0" collapsed="false">
      <c r="A6" s="30" t="s">
        <v>248</v>
      </c>
      <c r="B6" s="31" t="s">
        <v>249</v>
      </c>
    </row>
    <row r="7" customFormat="false" ht="39.55" hidden="false" customHeight="false" outlineLevel="0" collapsed="false">
      <c r="A7" s="30" t="s">
        <v>250</v>
      </c>
      <c r="B7" s="31" t="s">
        <v>251</v>
      </c>
    </row>
    <row r="8" customFormat="false" ht="39.55" hidden="false" customHeight="false" outlineLevel="0" collapsed="false">
      <c r="A8" s="30" t="s">
        <v>252</v>
      </c>
      <c r="B8" s="31" t="s">
        <v>253</v>
      </c>
    </row>
    <row r="9" customFormat="false" ht="26.85" hidden="false" customHeight="false" outlineLevel="0" collapsed="false">
      <c r="A9" s="30" t="s">
        <v>254</v>
      </c>
      <c r="B9" s="31" t="s">
        <v>255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2725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2026-10-14T15:35:07Z</dcterms:created>
  <dc:creator>openpyxl</dc:creator>
  <dc:description/>
  <dc:language>en-US</dc:language>
  <cp:lastModifiedBy/>
  <dcterms:modified xsi:type="dcterms:W3CDTF">2026-10-21T15:46:26Z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